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omments7.xml" ContentType="application/vnd.openxmlformats-officedocument.spreadsheetml.comments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esearch\_MyPapers&amp;Notes\2018 Energy &amp; Propulsion\"/>
    </mc:Choice>
  </mc:AlternateContent>
  <xr:revisionPtr revIDLastSave="0" documentId="13_ncr:1_{12799FB6-D764-45E2-8307-1FE96E4E4A4A}" xr6:coauthVersionLast="34" xr6:coauthVersionMax="34" xr10:uidLastSave="{00000000-0000-0000-0000-000000000000}"/>
  <bookViews>
    <workbookView xWindow="0" yWindow="0" windowWidth="24120" windowHeight="11595" xr2:uid="{B46CED55-D31E-4830-8707-8BA8DF62075B}"/>
  </bookViews>
  <sheets>
    <sheet name="Operating Profit" sheetId="39" r:id="rId1"/>
    <sheet name="Mission Params" sheetId="3" r:id="rId2"/>
    <sheet name="Mass Optimization" sheetId="4" r:id="rId3"/>
    <sheet name="32x6295" sheetId="31" r:id="rId4"/>
    <sheet name="32x8061 (8T)" sheetId="27" r:id="rId5"/>
    <sheet name="32x8061-8T Figs" sheetId="30" r:id="rId6"/>
    <sheet name="32x8061 (12T)" sheetId="28" r:id="rId7"/>
    <sheet name="32x8061-12T Figs" sheetId="29" r:id="rId8"/>
    <sheet name="64x6295 (16T)" sheetId="32" r:id="rId9"/>
    <sheet name="64x6295 (24T)" sheetId="33" r:id="rId10"/>
    <sheet name="64x6295-24T Figs" sheetId="38" r:id="rId11"/>
    <sheet name="64x8061 (24T)" sheetId="34" r:id="rId12"/>
    <sheet name="64x8061-24T Figs" sheetId="37" r:id="rId13"/>
    <sheet name="64x8061 (36T)" sheetId="35" r:id="rId14"/>
    <sheet name="64x8061-36T Figs" sheetId="36" r:id="rId15"/>
    <sheet name="Summary Figs" sheetId="26" r:id="rId16"/>
  </sheets>
  <definedNames>
    <definedName name="Delta_V">'Mission Params'!$B$9</definedName>
    <definedName name="Factor_4063">'Mission Params'!$H$12</definedName>
    <definedName name="Factor_4537">'Mission Params'!$H$18</definedName>
    <definedName name="Factor_5999">'Mission Params'!$H$13</definedName>
    <definedName name="Factor_6295">'Mission Params'!$H$19</definedName>
    <definedName name="Factor_8060">'Mission Params'!$H$14</definedName>
    <definedName name="Factor8061">'Mission Params'!$H$20</definedName>
    <definedName name="Isp">#REF!</definedName>
    <definedName name="Mp__calculated">#REF!</definedName>
    <definedName name="ΔVacc_km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9" l="1"/>
  <c r="L9" i="39"/>
  <c r="L7" i="39"/>
  <c r="L5" i="39"/>
  <c r="L3" i="39"/>
  <c r="C11" i="39"/>
  <c r="C9" i="39"/>
  <c r="C8" i="39"/>
  <c r="C7" i="39"/>
  <c r="C5" i="39"/>
  <c r="E24" i="29"/>
  <c r="E25" i="29"/>
  <c r="E26" i="29"/>
  <c r="E23" i="29"/>
  <c r="C24" i="29"/>
  <c r="C25" i="29"/>
  <c r="C26" i="29"/>
  <c r="C23" i="29"/>
  <c r="D24" i="29"/>
  <c r="D25" i="29"/>
  <c r="D26" i="29"/>
  <c r="D23" i="29"/>
  <c r="B24" i="29"/>
  <c r="B25" i="29"/>
  <c r="B26" i="29"/>
  <c r="B23" i="29"/>
  <c r="B23" i="36"/>
  <c r="C23" i="36"/>
  <c r="D23" i="36"/>
  <c r="E23" i="36"/>
  <c r="B24" i="36"/>
  <c r="C24" i="36"/>
  <c r="D24" i="36"/>
  <c r="E24" i="36"/>
  <c r="B25" i="36"/>
  <c r="C25" i="36"/>
  <c r="D25" i="36"/>
  <c r="E25" i="36"/>
  <c r="B26" i="36"/>
  <c r="C26" i="36"/>
  <c r="D26" i="36"/>
  <c r="E26" i="36"/>
  <c r="E24" i="38"/>
  <c r="E25" i="38"/>
  <c r="E26" i="38"/>
  <c r="E23" i="38"/>
  <c r="C24" i="38"/>
  <c r="C25" i="38"/>
  <c r="C26" i="38"/>
  <c r="C23" i="38"/>
  <c r="G13" i="38"/>
  <c r="G14" i="38"/>
  <c r="G15" i="38"/>
  <c r="G12" i="38"/>
  <c r="F13" i="38"/>
  <c r="F14" i="38"/>
  <c r="F15" i="38"/>
  <c r="F12" i="38"/>
  <c r="E13" i="38"/>
  <c r="E14" i="38"/>
  <c r="E15" i="38"/>
  <c r="E12" i="38"/>
  <c r="D13" i="38"/>
  <c r="D14" i="38"/>
  <c r="D15" i="38"/>
  <c r="D12" i="38"/>
  <c r="C13" i="38"/>
  <c r="C14" i="38"/>
  <c r="C15" i="38"/>
  <c r="C12" i="38"/>
  <c r="B13" i="38"/>
  <c r="B14" i="38"/>
  <c r="B15" i="38"/>
  <c r="B12" i="38"/>
  <c r="G13" i="36"/>
  <c r="G14" i="36"/>
  <c r="G15" i="36"/>
  <c r="G12" i="36"/>
  <c r="D13" i="36"/>
  <c r="D14" i="36"/>
  <c r="D15" i="36"/>
  <c r="D12" i="36"/>
  <c r="L12" i="39" l="1"/>
  <c r="C12" i="39" s="1"/>
  <c r="C15" i="39" s="1"/>
  <c r="B32" i="30"/>
  <c r="C32" i="30"/>
  <c r="B33" i="30"/>
  <c r="C33" i="30"/>
  <c r="B34" i="30"/>
  <c r="C34" i="30"/>
  <c r="C31" i="30"/>
  <c r="B31" i="30"/>
  <c r="B31" i="29"/>
  <c r="C31" i="29"/>
  <c r="B32" i="29"/>
  <c r="C32" i="29"/>
  <c r="B33" i="29"/>
  <c r="C33" i="29"/>
  <c r="C30" i="29"/>
  <c r="B30" i="29"/>
  <c r="E13" i="29"/>
  <c r="E14" i="29"/>
  <c r="E15" i="29"/>
  <c r="E12" i="29"/>
  <c r="C13" i="29"/>
  <c r="C14" i="29"/>
  <c r="C15" i="29"/>
  <c r="C12" i="29"/>
  <c r="C13" i="30"/>
  <c r="C14" i="30"/>
  <c r="C15" i="30"/>
  <c r="C12" i="30"/>
  <c r="E13" i="30"/>
  <c r="E14" i="30"/>
  <c r="E15" i="30"/>
  <c r="E12" i="30"/>
  <c r="D24" i="38" l="1"/>
  <c r="D25" i="38"/>
  <c r="D26" i="38"/>
  <c r="D23" i="38"/>
  <c r="B24" i="38"/>
  <c r="B25" i="38"/>
  <c r="B26" i="38"/>
  <c r="B23" i="38"/>
  <c r="C6" i="38"/>
  <c r="C7" i="38"/>
  <c r="C8" i="38"/>
  <c r="C5" i="38"/>
  <c r="B6" i="38"/>
  <c r="B7" i="38"/>
  <c r="B8" i="38"/>
  <c r="B5" i="38"/>
  <c r="C22" i="37"/>
  <c r="C23" i="37"/>
  <c r="C24" i="37"/>
  <c r="C21" i="37"/>
  <c r="B22" i="37"/>
  <c r="B23" i="37"/>
  <c r="B24" i="37"/>
  <c r="B21" i="37"/>
  <c r="C6" i="37"/>
  <c r="C7" i="37"/>
  <c r="C8" i="37"/>
  <c r="C5" i="37"/>
  <c r="B6" i="37"/>
  <c r="B7" i="37"/>
  <c r="B8" i="37"/>
  <c r="B5" i="37"/>
  <c r="E15" i="37"/>
  <c r="D15" i="37"/>
  <c r="C15" i="37"/>
  <c r="B15" i="37"/>
  <c r="E14" i="37"/>
  <c r="D14" i="37"/>
  <c r="C14" i="37"/>
  <c r="B14" i="37"/>
  <c r="E13" i="37"/>
  <c r="D13" i="37"/>
  <c r="C13" i="37"/>
  <c r="B13" i="37"/>
  <c r="E12" i="37"/>
  <c r="D12" i="37"/>
  <c r="C12" i="37"/>
  <c r="B12" i="37"/>
  <c r="F13" i="36"/>
  <c r="F14" i="36"/>
  <c r="F15" i="36"/>
  <c r="F12" i="36"/>
  <c r="E13" i="36"/>
  <c r="E14" i="36"/>
  <c r="E15" i="36"/>
  <c r="E12" i="36"/>
  <c r="C13" i="36"/>
  <c r="C14" i="36"/>
  <c r="C15" i="36"/>
  <c r="C12" i="36"/>
  <c r="B13" i="36"/>
  <c r="B14" i="36"/>
  <c r="B15" i="36"/>
  <c r="B12" i="36"/>
  <c r="C6" i="36"/>
  <c r="C7" i="36"/>
  <c r="C8" i="36"/>
  <c r="C5" i="36"/>
  <c r="B6" i="36"/>
  <c r="B7" i="36"/>
  <c r="B8" i="36"/>
  <c r="B5" i="36"/>
  <c r="S41" i="35" l="1"/>
  <c r="Q41" i="35"/>
  <c r="P41" i="35"/>
  <c r="R41" i="35" s="1"/>
  <c r="S40" i="35"/>
  <c r="Q40" i="35"/>
  <c r="P40" i="35"/>
  <c r="S39" i="35"/>
  <c r="Q39" i="35"/>
  <c r="P39" i="35"/>
  <c r="S38" i="35"/>
  <c r="Q38" i="35"/>
  <c r="P38" i="35"/>
  <c r="S36" i="35"/>
  <c r="R36" i="35"/>
  <c r="Q36" i="35"/>
  <c r="P36" i="35"/>
  <c r="S35" i="35"/>
  <c r="R35" i="35"/>
  <c r="Q35" i="35"/>
  <c r="P35" i="35"/>
  <c r="S34" i="35"/>
  <c r="R34" i="35"/>
  <c r="Q34" i="35"/>
  <c r="P34" i="35"/>
  <c r="S33" i="35"/>
  <c r="R33" i="35"/>
  <c r="Q33" i="35"/>
  <c r="P33" i="35"/>
  <c r="S41" i="34"/>
  <c r="Q41" i="34"/>
  <c r="P41" i="34"/>
  <c r="R41" i="34" s="1"/>
  <c r="S40" i="34"/>
  <c r="Q40" i="34"/>
  <c r="P40" i="34"/>
  <c r="R40" i="34" s="1"/>
  <c r="S39" i="34"/>
  <c r="Q39" i="34"/>
  <c r="P39" i="34"/>
  <c r="S38" i="34"/>
  <c r="Q38" i="34"/>
  <c r="P38" i="34"/>
  <c r="S36" i="34"/>
  <c r="R36" i="34"/>
  <c r="Q36" i="34"/>
  <c r="P36" i="34"/>
  <c r="S35" i="34"/>
  <c r="Q35" i="34"/>
  <c r="R35" i="34" s="1"/>
  <c r="P35" i="34"/>
  <c r="S34" i="34"/>
  <c r="Q34" i="34"/>
  <c r="R34" i="34" s="1"/>
  <c r="P34" i="34"/>
  <c r="S33" i="34"/>
  <c r="Q33" i="34"/>
  <c r="R33" i="34" s="1"/>
  <c r="P33" i="34"/>
  <c r="S41" i="32"/>
  <c r="Q41" i="32"/>
  <c r="P41" i="32"/>
  <c r="R41" i="32" s="1"/>
  <c r="S40" i="32"/>
  <c r="Q40" i="32"/>
  <c r="P40" i="32"/>
  <c r="S39" i="32"/>
  <c r="Q39" i="32"/>
  <c r="P39" i="32"/>
  <c r="S38" i="32"/>
  <c r="Q38" i="32"/>
  <c r="P38" i="32"/>
  <c r="S36" i="32"/>
  <c r="R36" i="32"/>
  <c r="T36" i="32" s="1"/>
  <c r="Q36" i="32"/>
  <c r="P36" i="32"/>
  <c r="S35" i="32"/>
  <c r="R35" i="32"/>
  <c r="T35" i="32" s="1"/>
  <c r="Q35" i="32"/>
  <c r="P35" i="32"/>
  <c r="S34" i="32"/>
  <c r="R34" i="32"/>
  <c r="Q34" i="32"/>
  <c r="P34" i="32"/>
  <c r="S33" i="32"/>
  <c r="R33" i="32"/>
  <c r="T33" i="32" s="1"/>
  <c r="Q33" i="32"/>
  <c r="P33" i="32"/>
  <c r="S41" i="33"/>
  <c r="Q41" i="33"/>
  <c r="P41" i="33"/>
  <c r="S40" i="33"/>
  <c r="Q40" i="33"/>
  <c r="P40" i="33"/>
  <c r="S39" i="33"/>
  <c r="Q39" i="33"/>
  <c r="P39" i="33"/>
  <c r="S38" i="33"/>
  <c r="Q38" i="33"/>
  <c r="P38" i="33"/>
  <c r="S36" i="33"/>
  <c r="R36" i="33"/>
  <c r="Q36" i="33"/>
  <c r="P36" i="33"/>
  <c r="S35" i="33"/>
  <c r="Q35" i="33"/>
  <c r="P35" i="33"/>
  <c r="R35" i="33" s="1"/>
  <c r="T35" i="33" s="1"/>
  <c r="S34" i="33"/>
  <c r="R34" i="33"/>
  <c r="Q34" i="33"/>
  <c r="P34" i="33"/>
  <c r="S33" i="33"/>
  <c r="Q33" i="33"/>
  <c r="P33" i="33"/>
  <c r="R33" i="33" s="1"/>
  <c r="T33" i="33" s="1"/>
  <c r="R39" i="35" l="1"/>
  <c r="R38" i="35"/>
  <c r="R40" i="35"/>
  <c r="R39" i="34"/>
  <c r="R38" i="34"/>
  <c r="R39" i="33"/>
  <c r="R40" i="33"/>
  <c r="R38" i="33"/>
  <c r="R41" i="33"/>
  <c r="R40" i="32"/>
  <c r="R38" i="32"/>
  <c r="R39" i="32"/>
  <c r="T40" i="35"/>
  <c r="T38" i="35"/>
  <c r="T41" i="35"/>
  <c r="T39" i="35"/>
  <c r="T33" i="35"/>
  <c r="T34" i="35"/>
  <c r="T35" i="35"/>
  <c r="T36" i="35"/>
  <c r="T40" i="34"/>
  <c r="T38" i="34"/>
  <c r="T41" i="34"/>
  <c r="T39" i="34"/>
  <c r="T33" i="34"/>
  <c r="T34" i="34"/>
  <c r="T35" i="34"/>
  <c r="T36" i="34"/>
  <c r="T40" i="32"/>
  <c r="T38" i="32"/>
  <c r="T41" i="32"/>
  <c r="T39" i="32"/>
  <c r="T34" i="32"/>
  <c r="T40" i="33"/>
  <c r="T38" i="33"/>
  <c r="T41" i="33"/>
  <c r="T39" i="33"/>
  <c r="T36" i="33"/>
  <c r="T34" i="33"/>
  <c r="B5" i="35"/>
  <c r="B10" i="35"/>
  <c r="S31" i="32"/>
  <c r="Q31" i="32"/>
  <c r="P31" i="32"/>
  <c r="S30" i="32"/>
  <c r="Q30" i="32"/>
  <c r="P30" i="32"/>
  <c r="R30" i="32" s="1"/>
  <c r="S29" i="32"/>
  <c r="Q29" i="32"/>
  <c r="P29" i="32"/>
  <c r="R29" i="32" s="1"/>
  <c r="S28" i="32"/>
  <c r="Q28" i="32"/>
  <c r="P28" i="32"/>
  <c r="R28" i="32" s="1"/>
  <c r="S26" i="32"/>
  <c r="Q26" i="32"/>
  <c r="R26" i="32" s="1"/>
  <c r="P26" i="32"/>
  <c r="S25" i="32"/>
  <c r="Q25" i="32"/>
  <c r="P25" i="32"/>
  <c r="R25" i="32" s="1"/>
  <c r="S24" i="32"/>
  <c r="Q24" i="32"/>
  <c r="P24" i="32"/>
  <c r="S23" i="32"/>
  <c r="Q23" i="32"/>
  <c r="P23" i="32"/>
  <c r="P21" i="32"/>
  <c r="R21" i="32" s="1"/>
  <c r="P20" i="32"/>
  <c r="R20" i="32" s="1"/>
  <c r="T20" i="32" s="1"/>
  <c r="P19" i="32"/>
  <c r="R19" i="32" s="1"/>
  <c r="P18" i="32"/>
  <c r="R18" i="32" s="1"/>
  <c r="P16" i="32"/>
  <c r="R16" i="32" s="1"/>
  <c r="P15" i="32"/>
  <c r="R15" i="32" s="1"/>
  <c r="T15" i="32" s="1"/>
  <c r="P14" i="32"/>
  <c r="R14" i="32" s="1"/>
  <c r="P13" i="32"/>
  <c r="R13" i="32" s="1"/>
  <c r="B11" i="32"/>
  <c r="B10" i="32"/>
  <c r="B9" i="32"/>
  <c r="B8" i="32"/>
  <c r="B6" i="32"/>
  <c r="B5" i="32"/>
  <c r="B4" i="32"/>
  <c r="B3" i="32"/>
  <c r="S31" i="33"/>
  <c r="Q31" i="33"/>
  <c r="P31" i="33"/>
  <c r="R31" i="33" s="1"/>
  <c r="S30" i="33"/>
  <c r="Q30" i="33"/>
  <c r="P30" i="33"/>
  <c r="R30" i="33" s="1"/>
  <c r="S29" i="33"/>
  <c r="Q29" i="33"/>
  <c r="P29" i="33"/>
  <c r="S28" i="33"/>
  <c r="Q28" i="33"/>
  <c r="P28" i="33"/>
  <c r="S26" i="33"/>
  <c r="R26" i="33"/>
  <c r="Q26" i="33"/>
  <c r="P26" i="33"/>
  <c r="S25" i="33"/>
  <c r="Q25" i="33"/>
  <c r="P25" i="33"/>
  <c r="S24" i="33"/>
  <c r="Q24" i="33"/>
  <c r="R24" i="33" s="1"/>
  <c r="P24" i="33"/>
  <c r="S23" i="33"/>
  <c r="Q23" i="33"/>
  <c r="P23" i="33"/>
  <c r="P21" i="33"/>
  <c r="R21" i="33" s="1"/>
  <c r="P20" i="33"/>
  <c r="R20" i="33" s="1"/>
  <c r="P19" i="33"/>
  <c r="R19" i="33" s="1"/>
  <c r="P18" i="33"/>
  <c r="R18" i="33" s="1"/>
  <c r="P16" i="33"/>
  <c r="R16" i="33" s="1"/>
  <c r="P15" i="33"/>
  <c r="R15" i="33" s="1"/>
  <c r="P14" i="33"/>
  <c r="R14" i="33" s="1"/>
  <c r="P13" i="33"/>
  <c r="R13" i="33" s="1"/>
  <c r="B11" i="33"/>
  <c r="B10" i="33"/>
  <c r="B9" i="33"/>
  <c r="B8" i="33"/>
  <c r="B6" i="33"/>
  <c r="B5" i="33"/>
  <c r="B4" i="33"/>
  <c r="B3" i="33"/>
  <c r="S31" i="34"/>
  <c r="Q31" i="34"/>
  <c r="P31" i="34"/>
  <c r="R31" i="34" s="1"/>
  <c r="S30" i="34"/>
  <c r="Q30" i="34"/>
  <c r="P30" i="34"/>
  <c r="S29" i="34"/>
  <c r="Q29" i="34"/>
  <c r="P29" i="34"/>
  <c r="S28" i="34"/>
  <c r="Q28" i="34"/>
  <c r="P28" i="34"/>
  <c r="S26" i="34"/>
  <c r="Q26" i="34"/>
  <c r="P26" i="34"/>
  <c r="S25" i="34"/>
  <c r="Q25" i="34"/>
  <c r="P25" i="34"/>
  <c r="R25" i="34" s="1"/>
  <c r="S24" i="34"/>
  <c r="Q24" i="34"/>
  <c r="P24" i="34"/>
  <c r="S23" i="34"/>
  <c r="Q23" i="34"/>
  <c r="P23" i="34"/>
  <c r="R23" i="34" s="1"/>
  <c r="P21" i="34"/>
  <c r="R21" i="34" s="1"/>
  <c r="P20" i="34"/>
  <c r="R20" i="34" s="1"/>
  <c r="T20" i="34" s="1"/>
  <c r="P19" i="34"/>
  <c r="R19" i="34" s="1"/>
  <c r="P18" i="34"/>
  <c r="R18" i="34" s="1"/>
  <c r="P16" i="34"/>
  <c r="R16" i="34" s="1"/>
  <c r="P15" i="34"/>
  <c r="R15" i="34" s="1"/>
  <c r="T15" i="34" s="1"/>
  <c r="P14" i="34"/>
  <c r="R14" i="34" s="1"/>
  <c r="P13" i="34"/>
  <c r="R13" i="34" s="1"/>
  <c r="B11" i="34"/>
  <c r="B10" i="34"/>
  <c r="B9" i="34"/>
  <c r="B8" i="34"/>
  <c r="B6" i="34"/>
  <c r="B5" i="34"/>
  <c r="B4" i="34"/>
  <c r="B3" i="34"/>
  <c r="S31" i="35"/>
  <c r="Q31" i="35"/>
  <c r="P31" i="35"/>
  <c r="S30" i="35"/>
  <c r="Q30" i="35"/>
  <c r="P30" i="35"/>
  <c r="S29" i="35"/>
  <c r="Q29" i="35"/>
  <c r="P29" i="35"/>
  <c r="S28" i="35"/>
  <c r="Q28" i="35"/>
  <c r="P28" i="35"/>
  <c r="S26" i="35"/>
  <c r="Q26" i="35"/>
  <c r="P26" i="35"/>
  <c r="S25" i="35"/>
  <c r="Q25" i="35"/>
  <c r="P25" i="35"/>
  <c r="S24" i="35"/>
  <c r="Q24" i="35"/>
  <c r="P24" i="35"/>
  <c r="S23" i="35"/>
  <c r="Q23" i="35"/>
  <c r="P23" i="35"/>
  <c r="P21" i="35"/>
  <c r="R21" i="35" s="1"/>
  <c r="P20" i="35"/>
  <c r="R20" i="35" s="1"/>
  <c r="P19" i="35"/>
  <c r="R19" i="35" s="1"/>
  <c r="P18" i="35"/>
  <c r="R18" i="35" s="1"/>
  <c r="P16" i="35"/>
  <c r="R16" i="35" s="1"/>
  <c r="P15" i="35"/>
  <c r="R15" i="35" s="1"/>
  <c r="P14" i="35"/>
  <c r="R14" i="35" s="1"/>
  <c r="P13" i="35"/>
  <c r="R13" i="35" s="1"/>
  <c r="B11" i="35"/>
  <c r="B9" i="35"/>
  <c r="B8" i="35"/>
  <c r="B6" i="35"/>
  <c r="B4" i="35"/>
  <c r="B3" i="35"/>
  <c r="C46" i="4"/>
  <c r="C47" i="4"/>
  <c r="G46" i="4"/>
  <c r="H46" i="4"/>
  <c r="I46" i="4" s="1"/>
  <c r="G47" i="4"/>
  <c r="H47" i="4"/>
  <c r="H45" i="4"/>
  <c r="G45" i="4"/>
  <c r="I45" i="4" s="1"/>
  <c r="J45" i="4" s="1"/>
  <c r="C45" i="4"/>
  <c r="C50" i="4"/>
  <c r="C51" i="4"/>
  <c r="C49" i="4"/>
  <c r="G50" i="4"/>
  <c r="I50" i="4" s="1"/>
  <c r="J50" i="4" s="1"/>
  <c r="H50" i="4"/>
  <c r="G51" i="4"/>
  <c r="H51" i="4"/>
  <c r="H49" i="4"/>
  <c r="G49" i="4"/>
  <c r="G42" i="4"/>
  <c r="I42" i="4" s="1"/>
  <c r="M42" i="4" s="1"/>
  <c r="H42" i="4"/>
  <c r="G43" i="4"/>
  <c r="H43" i="4"/>
  <c r="H41" i="4"/>
  <c r="G41" i="4"/>
  <c r="C43" i="4"/>
  <c r="C42" i="4"/>
  <c r="C41" i="4"/>
  <c r="C38" i="4"/>
  <c r="C39" i="4"/>
  <c r="C37" i="4"/>
  <c r="G38" i="4"/>
  <c r="G39" i="4"/>
  <c r="I39" i="4" s="1"/>
  <c r="J39" i="4" s="1"/>
  <c r="H39" i="4"/>
  <c r="H38" i="4"/>
  <c r="H37" i="4"/>
  <c r="G37" i="4"/>
  <c r="G34" i="4"/>
  <c r="I34" i="4" s="1"/>
  <c r="J34" i="4" s="1"/>
  <c r="G35" i="4"/>
  <c r="H34" i="4"/>
  <c r="H35" i="4"/>
  <c r="I35" i="4" s="1"/>
  <c r="M35" i="4" s="1"/>
  <c r="N35" i="4" s="1"/>
  <c r="C34" i="4"/>
  <c r="C35" i="4"/>
  <c r="C33" i="4"/>
  <c r="H33" i="4"/>
  <c r="G33" i="4"/>
  <c r="I33" i="4" l="1"/>
  <c r="M33" i="4" s="1"/>
  <c r="I51" i="4"/>
  <c r="J51" i="4" s="1"/>
  <c r="I38" i="4"/>
  <c r="J38" i="4" s="1"/>
  <c r="I37" i="4"/>
  <c r="J37" i="4" s="1"/>
  <c r="M39" i="4"/>
  <c r="N39" i="4" s="1"/>
  <c r="J46" i="4"/>
  <c r="M46" i="4"/>
  <c r="M38" i="4"/>
  <c r="M50" i="4"/>
  <c r="O50" i="4" s="1"/>
  <c r="P50" i="4" s="1"/>
  <c r="K50" i="4" s="1"/>
  <c r="L50" i="4" s="1"/>
  <c r="M51" i="4"/>
  <c r="N51" i="4" s="1"/>
  <c r="I41" i="4"/>
  <c r="J41" i="4" s="1"/>
  <c r="I43" i="4"/>
  <c r="J43" i="4" s="1"/>
  <c r="I49" i="4"/>
  <c r="J49" i="4" s="1"/>
  <c r="I47" i="4"/>
  <c r="J47" i="4" s="1"/>
  <c r="R23" i="35"/>
  <c r="R28" i="34"/>
  <c r="R25" i="35"/>
  <c r="T25" i="35" s="1"/>
  <c r="R26" i="34"/>
  <c r="R24" i="34"/>
  <c r="R25" i="33"/>
  <c r="R24" i="32"/>
  <c r="R30" i="35"/>
  <c r="T30" i="35" s="1"/>
  <c r="R30" i="34"/>
  <c r="T30" i="34" s="1"/>
  <c r="R29" i="34"/>
  <c r="R28" i="33"/>
  <c r="R23" i="33"/>
  <c r="T23" i="33" s="1"/>
  <c r="R29" i="33"/>
  <c r="R31" i="32"/>
  <c r="R23" i="32"/>
  <c r="T23" i="32" s="1"/>
  <c r="R26" i="35"/>
  <c r="T26" i="35" s="1"/>
  <c r="R24" i="35"/>
  <c r="T21" i="32"/>
  <c r="T30" i="32"/>
  <c r="T16" i="32"/>
  <c r="T28" i="32"/>
  <c r="T31" i="32"/>
  <c r="T18" i="32"/>
  <c r="T19" i="32"/>
  <c r="T14" i="32"/>
  <c r="T13" i="32"/>
  <c r="T29" i="32"/>
  <c r="T24" i="32"/>
  <c r="T25" i="32"/>
  <c r="T26" i="32"/>
  <c r="T14" i="33"/>
  <c r="T21" i="33"/>
  <c r="T30" i="33"/>
  <c r="T28" i="33"/>
  <c r="T31" i="33"/>
  <c r="T13" i="33"/>
  <c r="T18" i="33"/>
  <c r="T16" i="33"/>
  <c r="T19" i="33"/>
  <c r="T29" i="33"/>
  <c r="T24" i="33"/>
  <c r="T25" i="33"/>
  <c r="T26" i="33"/>
  <c r="T15" i="33"/>
  <c r="T20" i="33"/>
  <c r="T19" i="34"/>
  <c r="T24" i="34"/>
  <c r="T14" i="34"/>
  <c r="T28" i="34"/>
  <c r="T13" i="34"/>
  <c r="T31" i="34"/>
  <c r="T16" i="34"/>
  <c r="T18" i="34"/>
  <c r="T21" i="34"/>
  <c r="T26" i="34"/>
  <c r="T25" i="34"/>
  <c r="T23" i="34"/>
  <c r="T29" i="34"/>
  <c r="R28" i="35"/>
  <c r="T28" i="35" s="1"/>
  <c r="R31" i="35"/>
  <c r="T31" i="35" s="1"/>
  <c r="R29" i="35"/>
  <c r="T19" i="35"/>
  <c r="T20" i="35"/>
  <c r="T14" i="35"/>
  <c r="T15" i="35"/>
  <c r="T16" i="35"/>
  <c r="T21" i="35"/>
  <c r="T13" i="35"/>
  <c r="T18" i="35"/>
  <c r="T29" i="35"/>
  <c r="T23" i="35"/>
  <c r="T24" i="35"/>
  <c r="M45" i="4"/>
  <c r="N50" i="4"/>
  <c r="O42" i="4"/>
  <c r="P42" i="4" s="1"/>
  <c r="K42" i="4" s="1"/>
  <c r="N42" i="4"/>
  <c r="J42" i="4"/>
  <c r="J35" i="4"/>
  <c r="M34" i="4"/>
  <c r="O34" i="4" s="1"/>
  <c r="P34" i="4" s="1"/>
  <c r="K34" i="4" s="1"/>
  <c r="L34" i="4" s="1"/>
  <c r="O35" i="4"/>
  <c r="P35" i="4" s="1"/>
  <c r="K35" i="4" s="1"/>
  <c r="O33" i="4"/>
  <c r="P33" i="4" s="1"/>
  <c r="K33" i="4" s="1"/>
  <c r="N33" i="4"/>
  <c r="J33" i="4"/>
  <c r="O51" i="4" l="1"/>
  <c r="P51" i="4" s="1"/>
  <c r="K51" i="4" s="1"/>
  <c r="L51" i="4" s="1"/>
  <c r="O39" i="4"/>
  <c r="P39" i="4" s="1"/>
  <c r="K39" i="4" s="1"/>
  <c r="L39" i="4" s="1"/>
  <c r="M37" i="4"/>
  <c r="O37" i="4" s="1"/>
  <c r="P37" i="4" s="1"/>
  <c r="K37" i="4" s="1"/>
  <c r="L37" i="4" s="1"/>
  <c r="M41" i="4"/>
  <c r="O41" i="4" s="1"/>
  <c r="P41" i="4" s="1"/>
  <c r="K41" i="4" s="1"/>
  <c r="L41" i="4" s="1"/>
  <c r="L42" i="4"/>
  <c r="L35" i="4"/>
  <c r="M47" i="4"/>
  <c r="M43" i="4"/>
  <c r="N38" i="4"/>
  <c r="O38" i="4"/>
  <c r="P38" i="4" s="1"/>
  <c r="K38" i="4" s="1"/>
  <c r="L38" i="4" s="1"/>
  <c r="M49" i="4"/>
  <c r="O46" i="4"/>
  <c r="P46" i="4" s="1"/>
  <c r="K46" i="4" s="1"/>
  <c r="L46" i="4" s="1"/>
  <c r="N46" i="4"/>
  <c r="O45" i="4"/>
  <c r="P45" i="4" s="1"/>
  <c r="K45" i="4" s="1"/>
  <c r="L45" i="4" s="1"/>
  <c r="N45" i="4"/>
  <c r="N37" i="4"/>
  <c r="N34" i="4"/>
  <c r="L33" i="4"/>
  <c r="H3" i="4"/>
  <c r="H4" i="4"/>
  <c r="H5" i="4"/>
  <c r="H6" i="4"/>
  <c r="H7" i="4"/>
  <c r="H8" i="4"/>
  <c r="H9" i="4"/>
  <c r="H10" i="4"/>
  <c r="H12" i="4"/>
  <c r="H13" i="4"/>
  <c r="H14" i="4"/>
  <c r="H15" i="4"/>
  <c r="H16" i="4"/>
  <c r="H17" i="4"/>
  <c r="H18" i="4"/>
  <c r="H19" i="4"/>
  <c r="H20" i="4"/>
  <c r="H22" i="4"/>
  <c r="H23" i="4"/>
  <c r="H24" i="4"/>
  <c r="H25" i="4"/>
  <c r="H26" i="4"/>
  <c r="H27" i="4"/>
  <c r="H28" i="4"/>
  <c r="H29" i="4"/>
  <c r="H30" i="4"/>
  <c r="H2" i="4"/>
  <c r="N41" i="4" l="1"/>
  <c r="O49" i="4"/>
  <c r="P49" i="4" s="1"/>
  <c r="K49" i="4" s="1"/>
  <c r="L49" i="4" s="1"/>
  <c r="N49" i="4"/>
  <c r="O43" i="4"/>
  <c r="P43" i="4" s="1"/>
  <c r="K43" i="4" s="1"/>
  <c r="L43" i="4" s="1"/>
  <c r="N43" i="4"/>
  <c r="O47" i="4"/>
  <c r="P47" i="4" s="1"/>
  <c r="K47" i="4" s="1"/>
  <c r="L47" i="4" s="1"/>
  <c r="N47" i="4"/>
  <c r="G3" i="4"/>
  <c r="I3" i="4" s="1"/>
  <c r="J3" i="4" s="1"/>
  <c r="G4" i="4"/>
  <c r="I4" i="4" s="1"/>
  <c r="J4" i="4" s="1"/>
  <c r="G5" i="4"/>
  <c r="I5" i="4" s="1"/>
  <c r="J5" i="4" s="1"/>
  <c r="G6" i="4"/>
  <c r="I6" i="4" s="1"/>
  <c r="J6" i="4" s="1"/>
  <c r="G7" i="4"/>
  <c r="I7" i="4" s="1"/>
  <c r="J7" i="4" s="1"/>
  <c r="G8" i="4"/>
  <c r="I8" i="4" s="1"/>
  <c r="J8" i="4" s="1"/>
  <c r="G9" i="4"/>
  <c r="I9" i="4" s="1"/>
  <c r="J9" i="4" s="1"/>
  <c r="G10" i="4"/>
  <c r="I10" i="4" s="1"/>
  <c r="J10" i="4" s="1"/>
  <c r="G12" i="4"/>
  <c r="I12" i="4" s="1"/>
  <c r="J12" i="4" s="1"/>
  <c r="G13" i="4"/>
  <c r="I13" i="4" s="1"/>
  <c r="J13" i="4" s="1"/>
  <c r="G14" i="4"/>
  <c r="I14" i="4" s="1"/>
  <c r="J14" i="4" s="1"/>
  <c r="G15" i="4"/>
  <c r="I15" i="4" s="1"/>
  <c r="J15" i="4" s="1"/>
  <c r="G16" i="4"/>
  <c r="I16" i="4" s="1"/>
  <c r="J16" i="4" s="1"/>
  <c r="G17" i="4"/>
  <c r="I17" i="4" s="1"/>
  <c r="J17" i="4" s="1"/>
  <c r="G18" i="4"/>
  <c r="I18" i="4" s="1"/>
  <c r="J18" i="4" s="1"/>
  <c r="G19" i="4"/>
  <c r="I19" i="4" s="1"/>
  <c r="J19" i="4" s="1"/>
  <c r="G20" i="4"/>
  <c r="I20" i="4" s="1"/>
  <c r="J20" i="4" s="1"/>
  <c r="G22" i="4"/>
  <c r="I22" i="4" s="1"/>
  <c r="J22" i="4" s="1"/>
  <c r="G23" i="4"/>
  <c r="I23" i="4" s="1"/>
  <c r="J23" i="4" s="1"/>
  <c r="G24" i="4"/>
  <c r="I24" i="4" s="1"/>
  <c r="J24" i="4" s="1"/>
  <c r="G25" i="4"/>
  <c r="I25" i="4" s="1"/>
  <c r="J25" i="4" s="1"/>
  <c r="G26" i="4"/>
  <c r="I26" i="4" s="1"/>
  <c r="J26" i="4" s="1"/>
  <c r="G27" i="4"/>
  <c r="I27" i="4" s="1"/>
  <c r="J27" i="4" s="1"/>
  <c r="G28" i="4"/>
  <c r="I28" i="4" s="1"/>
  <c r="J28" i="4" s="1"/>
  <c r="G29" i="4"/>
  <c r="I29" i="4" s="1"/>
  <c r="J29" i="4" s="1"/>
  <c r="G30" i="4"/>
  <c r="I30" i="4" s="1"/>
  <c r="J30" i="4" s="1"/>
  <c r="G2" i="4"/>
  <c r="I2" i="4" s="1"/>
  <c r="J2" i="4" s="1"/>
  <c r="C3" i="4"/>
  <c r="C4" i="4"/>
  <c r="C5" i="4"/>
  <c r="C6" i="4"/>
  <c r="C7" i="4"/>
  <c r="C8" i="4"/>
  <c r="C9" i="4"/>
  <c r="C10" i="4"/>
  <c r="C12" i="4"/>
  <c r="C13" i="4"/>
  <c r="C14" i="4"/>
  <c r="C15" i="4"/>
  <c r="C16" i="4"/>
  <c r="C17" i="4"/>
  <c r="C18" i="4"/>
  <c r="C19" i="4"/>
  <c r="C20" i="4"/>
  <c r="C22" i="4"/>
  <c r="C23" i="4"/>
  <c r="C24" i="4"/>
  <c r="C25" i="4"/>
  <c r="C26" i="4"/>
  <c r="C27" i="4"/>
  <c r="C28" i="4"/>
  <c r="C29" i="4"/>
  <c r="C30" i="4"/>
  <c r="C2" i="4"/>
  <c r="J85" i="26" l="1"/>
  <c r="J84" i="26"/>
  <c r="J83" i="26"/>
  <c r="J82" i="26"/>
  <c r="H85" i="26"/>
  <c r="H84" i="26"/>
  <c r="H83" i="26"/>
  <c r="H82" i="26"/>
  <c r="J75" i="26"/>
  <c r="J76" i="26"/>
  <c r="J77" i="26"/>
  <c r="J78" i="26"/>
  <c r="H76" i="26"/>
  <c r="H77" i="26"/>
  <c r="H78" i="26"/>
  <c r="H75" i="26"/>
  <c r="B13" i="30"/>
  <c r="B14" i="30"/>
  <c r="B15" i="30"/>
  <c r="D13" i="30"/>
  <c r="D14" i="30"/>
  <c r="D15" i="30"/>
  <c r="D12" i="30"/>
  <c r="B12" i="30"/>
  <c r="D13" i="29"/>
  <c r="D14" i="29"/>
  <c r="D15" i="29"/>
  <c r="D12" i="29"/>
  <c r="B13" i="29"/>
  <c r="B14" i="29"/>
  <c r="B15" i="29"/>
  <c r="B12" i="29"/>
  <c r="B6" i="29"/>
  <c r="C6" i="29"/>
  <c r="B7" i="29"/>
  <c r="C7" i="29"/>
  <c r="B8" i="29"/>
  <c r="C8" i="29"/>
  <c r="C5" i="29"/>
  <c r="B5" i="29"/>
  <c r="B24" i="30"/>
  <c r="D24" i="30"/>
  <c r="B25" i="30"/>
  <c r="D25" i="30"/>
  <c r="B26" i="30"/>
  <c r="D26" i="30"/>
  <c r="D23" i="30"/>
  <c r="B23" i="30"/>
  <c r="B6" i="30"/>
  <c r="C6" i="30"/>
  <c r="B7" i="30"/>
  <c r="C7" i="30"/>
  <c r="B8" i="30"/>
  <c r="C8" i="30"/>
  <c r="C5" i="30"/>
  <c r="B5" i="30"/>
  <c r="T41" i="28"/>
  <c r="R41" i="28"/>
  <c r="Q41" i="28"/>
  <c r="T40" i="28"/>
  <c r="R40" i="28"/>
  <c r="Q40" i="28"/>
  <c r="S40" i="28" s="1"/>
  <c r="T39" i="28"/>
  <c r="R39" i="28"/>
  <c r="Q39" i="28"/>
  <c r="T38" i="28"/>
  <c r="R38" i="28"/>
  <c r="Q38" i="28"/>
  <c r="T36" i="28"/>
  <c r="R36" i="28"/>
  <c r="Q36" i="28"/>
  <c r="T35" i="28"/>
  <c r="R35" i="28"/>
  <c r="Q35" i="28"/>
  <c r="T34" i="28"/>
  <c r="R34" i="28"/>
  <c r="Q34" i="28"/>
  <c r="T33" i="28"/>
  <c r="R33" i="28"/>
  <c r="Q33" i="28"/>
  <c r="T31" i="28"/>
  <c r="S31" i="28"/>
  <c r="R31" i="28"/>
  <c r="Q31" i="28"/>
  <c r="T30" i="28"/>
  <c r="S30" i="28"/>
  <c r="R30" i="28"/>
  <c r="Q30" i="28"/>
  <c r="T29" i="28"/>
  <c r="S29" i="28"/>
  <c r="R29" i="28"/>
  <c r="Q29" i="28"/>
  <c r="T28" i="28"/>
  <c r="S28" i="28"/>
  <c r="R28" i="28"/>
  <c r="Q28" i="28"/>
  <c r="T26" i="28"/>
  <c r="S26" i="28"/>
  <c r="R26" i="28"/>
  <c r="Q26" i="28"/>
  <c r="T25" i="28"/>
  <c r="S25" i="28"/>
  <c r="R25" i="28"/>
  <c r="Q25" i="28"/>
  <c r="T24" i="28"/>
  <c r="S24" i="28"/>
  <c r="R24" i="28"/>
  <c r="Q24" i="28"/>
  <c r="T23" i="28"/>
  <c r="S23" i="28"/>
  <c r="R23" i="28"/>
  <c r="Q23" i="28"/>
  <c r="T41" i="27"/>
  <c r="R41" i="27"/>
  <c r="Q41" i="27"/>
  <c r="T40" i="27"/>
  <c r="R40" i="27"/>
  <c r="Q40" i="27"/>
  <c r="T39" i="27"/>
  <c r="R39" i="27"/>
  <c r="Q39" i="27"/>
  <c r="T38" i="27"/>
  <c r="R38" i="27"/>
  <c r="Q38" i="27"/>
  <c r="T36" i="27"/>
  <c r="R36" i="27"/>
  <c r="Q36" i="27"/>
  <c r="T35" i="27"/>
  <c r="R35" i="27"/>
  <c r="Q35" i="27"/>
  <c r="S35" i="27" s="1"/>
  <c r="T34" i="27"/>
  <c r="R34" i="27"/>
  <c r="Q34" i="27"/>
  <c r="S34" i="27" s="1"/>
  <c r="T33" i="27"/>
  <c r="R33" i="27"/>
  <c r="Q33" i="27"/>
  <c r="S33" i="27" s="1"/>
  <c r="T31" i="27"/>
  <c r="R31" i="27"/>
  <c r="Q31" i="27"/>
  <c r="S31" i="27" s="1"/>
  <c r="T30" i="27"/>
  <c r="R30" i="27"/>
  <c r="Q30" i="27"/>
  <c r="S30" i="27" s="1"/>
  <c r="T29" i="27"/>
  <c r="R29" i="27"/>
  <c r="Q29" i="27"/>
  <c r="S29" i="27" s="1"/>
  <c r="T28" i="27"/>
  <c r="R28" i="27"/>
  <c r="Q28" i="27"/>
  <c r="S28" i="27" s="1"/>
  <c r="T26" i="27"/>
  <c r="R26" i="27"/>
  <c r="Q26" i="27"/>
  <c r="S26" i="27" s="1"/>
  <c r="T25" i="27"/>
  <c r="R25" i="27"/>
  <c r="Q25" i="27"/>
  <c r="S25" i="27" s="1"/>
  <c r="T24" i="27"/>
  <c r="R24" i="27"/>
  <c r="Q24" i="27"/>
  <c r="S24" i="27" s="1"/>
  <c r="T23" i="27"/>
  <c r="R23" i="27"/>
  <c r="Q23" i="27"/>
  <c r="S23" i="27" s="1"/>
  <c r="S38" i="28" l="1"/>
  <c r="S39" i="28"/>
  <c r="S41" i="28"/>
  <c r="S39" i="27"/>
  <c r="S41" i="27"/>
  <c r="S38" i="27"/>
  <c r="S35" i="28"/>
  <c r="S34" i="28"/>
  <c r="S33" i="28"/>
  <c r="S36" i="27"/>
  <c r="S40" i="27"/>
  <c r="S36" i="28"/>
  <c r="U36" i="28"/>
  <c r="U40" i="28"/>
  <c r="U34" i="28"/>
  <c r="U38" i="28"/>
  <c r="U41" i="28"/>
  <c r="U35" i="28"/>
  <c r="U33" i="28"/>
  <c r="U39" i="28"/>
  <c r="U23" i="28"/>
  <c r="U24" i="28"/>
  <c r="U25" i="28"/>
  <c r="U26" i="28"/>
  <c r="U28" i="28"/>
  <c r="U29" i="28"/>
  <c r="U30" i="28"/>
  <c r="U31" i="28"/>
  <c r="U33" i="27"/>
  <c r="U34" i="27"/>
  <c r="U36" i="27"/>
  <c r="U38" i="27"/>
  <c r="U35" i="27"/>
  <c r="U23" i="27"/>
  <c r="U26" i="27"/>
  <c r="U30" i="27"/>
  <c r="U28" i="27"/>
  <c r="U25" i="27"/>
  <c r="U24" i="27"/>
  <c r="U31" i="27"/>
  <c r="U29" i="27"/>
  <c r="B11" i="27"/>
  <c r="B10" i="27"/>
  <c r="B9" i="27"/>
  <c r="B8" i="27"/>
  <c r="B4" i="27"/>
  <c r="B5" i="27"/>
  <c r="B6" i="27"/>
  <c r="B3" i="27"/>
  <c r="Q16" i="28"/>
  <c r="S16" i="28" s="1"/>
  <c r="Q15" i="28"/>
  <c r="S15" i="28" s="1"/>
  <c r="Q14" i="28"/>
  <c r="S14" i="28" s="1"/>
  <c r="Q13" i="28"/>
  <c r="S13" i="28" s="1"/>
  <c r="Q14" i="27"/>
  <c r="S14" i="27" s="1"/>
  <c r="Q13" i="27"/>
  <c r="S13" i="27" s="1"/>
  <c r="B11" i="28"/>
  <c r="B10" i="28"/>
  <c r="B9" i="28"/>
  <c r="B8" i="28"/>
  <c r="B6" i="28"/>
  <c r="B5" i="28"/>
  <c r="B4" i="28"/>
  <c r="B3" i="28"/>
  <c r="Q21" i="28"/>
  <c r="S21" i="28" s="1"/>
  <c r="Q20" i="28"/>
  <c r="S20" i="28" s="1"/>
  <c r="Q19" i="28"/>
  <c r="S19" i="28" s="1"/>
  <c r="Q18" i="28"/>
  <c r="S18" i="28" s="1"/>
  <c r="Q21" i="27"/>
  <c r="S21" i="27" s="1"/>
  <c r="Q20" i="27"/>
  <c r="S20" i="27" s="1"/>
  <c r="Q19" i="27"/>
  <c r="S19" i="27" s="1"/>
  <c r="Q18" i="27"/>
  <c r="S18" i="27" s="1"/>
  <c r="Q16" i="27"/>
  <c r="S16" i="27" s="1"/>
  <c r="Q15" i="27"/>
  <c r="S15" i="27" s="1"/>
  <c r="U15" i="27" s="1"/>
  <c r="U39" i="27" l="1"/>
  <c r="U41" i="27"/>
  <c r="U40" i="27"/>
  <c r="U19" i="28"/>
  <c r="U20" i="28"/>
  <c r="U18" i="28"/>
  <c r="U21" i="28"/>
  <c r="U13" i="28"/>
  <c r="U14" i="28"/>
  <c r="U15" i="28"/>
  <c r="U16" i="28"/>
  <c r="U19" i="27"/>
  <c r="U13" i="27"/>
  <c r="U21" i="27"/>
  <c r="U18" i="27"/>
  <c r="U20" i="27"/>
  <c r="U16" i="27"/>
  <c r="U14" i="27"/>
  <c r="M44" i="26" l="1"/>
  <c r="S47" i="26"/>
  <c r="R47" i="26"/>
  <c r="S46" i="26"/>
  <c r="R46" i="26"/>
  <c r="S45" i="26"/>
  <c r="R45" i="26"/>
  <c r="S44" i="26"/>
  <c r="R44" i="26"/>
  <c r="N47" i="26"/>
  <c r="M47" i="26"/>
  <c r="N46" i="26"/>
  <c r="M46" i="26"/>
  <c r="N45" i="26"/>
  <c r="M45" i="26"/>
  <c r="N44" i="26"/>
  <c r="T40" i="26"/>
  <c r="S40" i="26"/>
  <c r="R40" i="26"/>
  <c r="T39" i="26"/>
  <c r="S39" i="26"/>
  <c r="R39" i="26"/>
  <c r="T38" i="26"/>
  <c r="S38" i="26"/>
  <c r="R38" i="26"/>
  <c r="T37" i="26"/>
  <c r="S37" i="26"/>
  <c r="R37" i="26"/>
  <c r="N37" i="26"/>
  <c r="O37" i="26"/>
  <c r="N38" i="26"/>
  <c r="O38" i="26"/>
  <c r="N39" i="26"/>
  <c r="O39" i="26"/>
  <c r="N40" i="26"/>
  <c r="O40" i="26"/>
  <c r="M38" i="26"/>
  <c r="M39" i="26"/>
  <c r="M40" i="26"/>
  <c r="M37" i="26"/>
  <c r="H20" i="3" l="1"/>
  <c r="H19" i="3"/>
  <c r="H18" i="3"/>
  <c r="W37" i="33" l="1"/>
  <c r="X37" i="33" s="1"/>
  <c r="W37" i="34"/>
  <c r="X37" i="34" s="1"/>
  <c r="W37" i="35"/>
  <c r="X37" i="35" s="1"/>
  <c r="W37" i="32"/>
  <c r="X37" i="32" s="1"/>
  <c r="W34" i="35"/>
  <c r="X34" i="35" s="1"/>
  <c r="U34" i="35" s="1"/>
  <c r="W34" i="32"/>
  <c r="X34" i="32" s="1"/>
  <c r="U34" i="32" s="1"/>
  <c r="W40" i="35"/>
  <c r="X40" i="35" s="1"/>
  <c r="U40" i="35" s="1"/>
  <c r="W40" i="34"/>
  <c r="X40" i="34" s="1"/>
  <c r="U40" i="34" s="1"/>
  <c r="W39" i="32"/>
  <c r="X39" i="32" s="1"/>
  <c r="U39" i="32" s="1"/>
  <c r="W35" i="33"/>
  <c r="X35" i="33" s="1"/>
  <c r="U35" i="33" s="1"/>
  <c r="W35" i="32"/>
  <c r="X35" i="32" s="1"/>
  <c r="U35" i="32" s="1"/>
  <c r="W41" i="32"/>
  <c r="X41" i="32" s="1"/>
  <c r="U41" i="32" s="1"/>
  <c r="W33" i="34"/>
  <c r="X33" i="34" s="1"/>
  <c r="U33" i="34" s="1"/>
  <c r="W34" i="34"/>
  <c r="X34" i="34" s="1"/>
  <c r="U34" i="34" s="1"/>
  <c r="W39" i="35"/>
  <c r="X39" i="35" s="1"/>
  <c r="U39" i="35" s="1"/>
  <c r="W40" i="33"/>
  <c r="X40" i="33" s="1"/>
  <c r="U40" i="33" s="1"/>
  <c r="W38" i="32"/>
  <c r="W36" i="35"/>
  <c r="X36" i="35" s="1"/>
  <c r="U36" i="35" s="1"/>
  <c r="W36" i="32"/>
  <c r="X36" i="32" s="1"/>
  <c r="U36" i="32" s="1"/>
  <c r="W36" i="33"/>
  <c r="X36" i="33" s="1"/>
  <c r="U36" i="33" s="1"/>
  <c r="W39" i="33"/>
  <c r="X39" i="33" s="1"/>
  <c r="U39" i="33" s="1"/>
  <c r="W36" i="34"/>
  <c r="X36" i="34" s="1"/>
  <c r="U36" i="34" s="1"/>
  <c r="W34" i="33"/>
  <c r="X34" i="33" s="1"/>
  <c r="U34" i="33" s="1"/>
  <c r="W38" i="35"/>
  <c r="W38" i="34"/>
  <c r="W39" i="34"/>
  <c r="X39" i="34" s="1"/>
  <c r="U39" i="34" s="1"/>
  <c r="W40" i="32"/>
  <c r="X40" i="32" s="1"/>
  <c r="U40" i="32" s="1"/>
  <c r="W33" i="35"/>
  <c r="X33" i="35" s="1"/>
  <c r="U33" i="35" s="1"/>
  <c r="W38" i="33"/>
  <c r="W33" i="33"/>
  <c r="X33" i="33" s="1"/>
  <c r="U33" i="33" s="1"/>
  <c r="W35" i="35"/>
  <c r="X35" i="35" s="1"/>
  <c r="U35" i="35" s="1"/>
  <c r="W41" i="35"/>
  <c r="X41" i="35" s="1"/>
  <c r="U41" i="35" s="1"/>
  <c r="W33" i="32"/>
  <c r="X33" i="32" s="1"/>
  <c r="U33" i="32" s="1"/>
  <c r="W35" i="34"/>
  <c r="X35" i="34" s="1"/>
  <c r="U35" i="34" s="1"/>
  <c r="W41" i="33"/>
  <c r="X41" i="33" s="1"/>
  <c r="U41" i="33" s="1"/>
  <c r="W41" i="34"/>
  <c r="X41" i="34" s="1"/>
  <c r="U41" i="34" s="1"/>
  <c r="W27" i="35"/>
  <c r="X27" i="35" s="1"/>
  <c r="W27" i="32"/>
  <c r="X27" i="32" s="1"/>
  <c r="W27" i="34"/>
  <c r="X27" i="34" s="1"/>
  <c r="W27" i="33"/>
  <c r="X27" i="33" s="1"/>
  <c r="W26" i="33"/>
  <c r="X26" i="33" s="1"/>
  <c r="U26" i="33" s="1"/>
  <c r="W25" i="33"/>
  <c r="X25" i="33" s="1"/>
  <c r="U25" i="33" s="1"/>
  <c r="W31" i="32"/>
  <c r="X31" i="32" s="1"/>
  <c r="U31" i="32" s="1"/>
  <c r="W25" i="34"/>
  <c r="X25" i="34" s="1"/>
  <c r="U25" i="34" s="1"/>
  <c r="W29" i="33"/>
  <c r="X29" i="33" s="1"/>
  <c r="U29" i="33" s="1"/>
  <c r="W29" i="34"/>
  <c r="X29" i="34" s="1"/>
  <c r="U29" i="34" s="1"/>
  <c r="W25" i="35"/>
  <c r="X25" i="35" s="1"/>
  <c r="U25" i="35" s="1"/>
  <c r="W24" i="35"/>
  <c r="X24" i="35" s="1"/>
  <c r="U24" i="35" s="1"/>
  <c r="W30" i="33"/>
  <c r="X30" i="33" s="1"/>
  <c r="U30" i="33" s="1"/>
  <c r="W23" i="34"/>
  <c r="X23" i="34" s="1"/>
  <c r="U23" i="34" s="1"/>
  <c r="W30" i="35"/>
  <c r="X30" i="35" s="1"/>
  <c r="U30" i="35" s="1"/>
  <c r="W29" i="35"/>
  <c r="X29" i="35" s="1"/>
  <c r="U29" i="35" s="1"/>
  <c r="W23" i="33"/>
  <c r="X23" i="33" s="1"/>
  <c r="U23" i="33" s="1"/>
  <c r="W31" i="34"/>
  <c r="X31" i="34" s="1"/>
  <c r="U31" i="34" s="1"/>
  <c r="W24" i="32"/>
  <c r="X24" i="32" s="1"/>
  <c r="U24" i="32" s="1"/>
  <c r="W23" i="32"/>
  <c r="X23" i="32" s="1"/>
  <c r="U23" i="32" s="1"/>
  <c r="W30" i="32"/>
  <c r="X30" i="32" s="1"/>
  <c r="U30" i="32" s="1"/>
  <c r="W26" i="32"/>
  <c r="X26" i="32" s="1"/>
  <c r="U26" i="32" s="1"/>
  <c r="W25" i="32"/>
  <c r="X25" i="32" s="1"/>
  <c r="U25" i="32" s="1"/>
  <c r="W28" i="33"/>
  <c r="W28" i="34"/>
  <c r="W28" i="35"/>
  <c r="W23" i="35"/>
  <c r="X23" i="35" s="1"/>
  <c r="U23" i="35" s="1"/>
  <c r="W24" i="33"/>
  <c r="X24" i="33" s="1"/>
  <c r="U24" i="33" s="1"/>
  <c r="W24" i="34"/>
  <c r="X24" i="34" s="1"/>
  <c r="U24" i="34" s="1"/>
  <c r="W31" i="35"/>
  <c r="X31" i="35" s="1"/>
  <c r="U31" i="35" s="1"/>
  <c r="W26" i="34"/>
  <c r="X26" i="34" s="1"/>
  <c r="U26" i="34" s="1"/>
  <c r="W29" i="32"/>
  <c r="X29" i="32" s="1"/>
  <c r="U29" i="32" s="1"/>
  <c r="W31" i="33"/>
  <c r="X31" i="33" s="1"/>
  <c r="U31" i="33" s="1"/>
  <c r="W26" i="35"/>
  <c r="X26" i="35" s="1"/>
  <c r="U26" i="35" s="1"/>
  <c r="W28" i="32"/>
  <c r="W30" i="34"/>
  <c r="X30" i="34" s="1"/>
  <c r="U30" i="34" s="1"/>
  <c r="X28" i="28"/>
  <c r="X26" i="27"/>
  <c r="Y26" i="27" s="1"/>
  <c r="V26" i="27" s="1"/>
  <c r="X32" i="27"/>
  <c r="Y32" i="27" s="1"/>
  <c r="X15" i="27"/>
  <c r="Y15" i="27" s="1"/>
  <c r="X13" i="27"/>
  <c r="Y13" i="27" s="1"/>
  <c r="X17" i="27"/>
  <c r="Y17" i="27" s="1"/>
  <c r="X19" i="27"/>
  <c r="Y19" i="27" s="1"/>
  <c r="X14" i="27"/>
  <c r="Y14" i="27" s="1"/>
  <c r="X27" i="28"/>
  <c r="Y27" i="28" s="1"/>
  <c r="X27" i="27"/>
  <c r="Y27" i="27" s="1"/>
  <c r="X33" i="27"/>
  <c r="Y33" i="27" s="1"/>
  <c r="V33" i="27" s="1"/>
  <c r="X16" i="27"/>
  <c r="Y16" i="27" s="1"/>
  <c r="X18" i="27"/>
  <c r="Y18" i="27" s="1"/>
  <c r="X26" i="28"/>
  <c r="Y26" i="28" s="1"/>
  <c r="V26" i="28" s="1"/>
  <c r="X37" i="27"/>
  <c r="Y37" i="27" s="1"/>
  <c r="X37" i="28"/>
  <c r="Y37" i="28" s="1"/>
  <c r="X25" i="28"/>
  <c r="Y25" i="28" s="1"/>
  <c r="V25" i="28" s="1"/>
  <c r="X28" i="27"/>
  <c r="X20" i="27"/>
  <c r="Y20" i="27" s="1"/>
  <c r="X32" i="28"/>
  <c r="Y32" i="28" s="1"/>
  <c r="X24" i="28"/>
  <c r="Y24" i="28" s="1"/>
  <c r="V24" i="28" s="1"/>
  <c r="X29" i="27"/>
  <c r="X23" i="27"/>
  <c r="Y23" i="27" s="1"/>
  <c r="V23" i="27" s="1"/>
  <c r="X22" i="27"/>
  <c r="Y22" i="27" s="1"/>
  <c r="X31" i="28"/>
  <c r="Y31" i="28" s="1"/>
  <c r="V31" i="28" s="1"/>
  <c r="X23" i="28"/>
  <c r="Y23" i="28" s="1"/>
  <c r="V23" i="28" s="1"/>
  <c r="X30" i="27"/>
  <c r="X30" i="28"/>
  <c r="Y30" i="28" s="1"/>
  <c r="V30" i="28" s="1"/>
  <c r="X24" i="27"/>
  <c r="Y24" i="27" s="1"/>
  <c r="V24" i="27" s="1"/>
  <c r="X31" i="27"/>
  <c r="X21" i="27"/>
  <c r="Y21" i="27" s="1"/>
  <c r="X29" i="28"/>
  <c r="Y29" i="28" s="1"/>
  <c r="V29" i="28" s="1"/>
  <c r="X25" i="27"/>
  <c r="Y25" i="27" s="1"/>
  <c r="V25" i="27" s="1"/>
  <c r="X35" i="27"/>
  <c r="Y35" i="27" s="1"/>
  <c r="V35" i="27" s="1"/>
  <c r="X40" i="28"/>
  <c r="Y40" i="28" s="1"/>
  <c r="V40" i="28" s="1"/>
  <c r="X34" i="27"/>
  <c r="Y34" i="27" s="1"/>
  <c r="V34" i="27" s="1"/>
  <c r="X41" i="28"/>
  <c r="Y41" i="28" s="1"/>
  <c r="V41" i="28" s="1"/>
  <c r="X39" i="27"/>
  <c r="Y39" i="27" s="1"/>
  <c r="V39" i="27" s="1"/>
  <c r="X36" i="27"/>
  <c r="Y36" i="27" s="1"/>
  <c r="V36" i="27" s="1"/>
  <c r="X39" i="28"/>
  <c r="Y39" i="28" s="1"/>
  <c r="V39" i="28" s="1"/>
  <c r="X38" i="28"/>
  <c r="X41" i="27"/>
  <c r="Y41" i="27" s="1"/>
  <c r="V41" i="27" s="1"/>
  <c r="X35" i="28"/>
  <c r="Y35" i="28" s="1"/>
  <c r="V35" i="28" s="1"/>
  <c r="X40" i="27"/>
  <c r="Y40" i="27" s="1"/>
  <c r="V40" i="27" s="1"/>
  <c r="X38" i="27"/>
  <c r="X33" i="28"/>
  <c r="Y33" i="28" s="1"/>
  <c r="V33" i="28" s="1"/>
  <c r="X36" i="28"/>
  <c r="Y36" i="28" s="1"/>
  <c r="V36" i="28" s="1"/>
  <c r="X34" i="28"/>
  <c r="Y34" i="28" s="1"/>
  <c r="V34" i="28" s="1"/>
  <c r="X38" i="33" l="1"/>
  <c r="U38" i="33"/>
  <c r="X38" i="35"/>
  <c r="U38" i="35"/>
  <c r="X38" i="34"/>
  <c r="U38" i="34"/>
  <c r="X38" i="32"/>
  <c r="U38" i="32"/>
  <c r="X28" i="33"/>
  <c r="U28" i="33"/>
  <c r="X28" i="32"/>
  <c r="U28" i="32"/>
  <c r="X28" i="35"/>
  <c r="U28" i="35"/>
  <c r="X28" i="34"/>
  <c r="U28" i="34"/>
  <c r="V31" i="27"/>
  <c r="Y31" i="27"/>
  <c r="Y29" i="27"/>
  <c r="V29" i="27"/>
  <c r="Y30" i="27"/>
  <c r="V30" i="27"/>
  <c r="Y38" i="27"/>
  <c r="V38" i="27"/>
  <c r="Y28" i="27"/>
  <c r="V28" i="27"/>
  <c r="Y38" i="28"/>
  <c r="V38" i="28"/>
  <c r="Y28" i="28"/>
  <c r="V28" i="28"/>
  <c r="H13" i="3" l="1"/>
  <c r="H14" i="3"/>
  <c r="H12" i="3"/>
  <c r="W15" i="34" l="1"/>
  <c r="X15" i="34" s="1"/>
  <c r="U15" i="34" s="1"/>
  <c r="W20" i="34"/>
  <c r="X20" i="34" s="1"/>
  <c r="U20" i="34" s="1"/>
  <c r="W15" i="32"/>
  <c r="X15" i="32" s="1"/>
  <c r="U15" i="32" s="1"/>
  <c r="W20" i="32"/>
  <c r="X20" i="32" s="1"/>
  <c r="U20" i="32" s="1"/>
  <c r="W13" i="33"/>
  <c r="X13" i="33" s="1"/>
  <c r="U13" i="33" s="1"/>
  <c r="W14" i="35"/>
  <c r="X14" i="35" s="1"/>
  <c r="U14" i="35" s="1"/>
  <c r="W16" i="35"/>
  <c r="X16" i="35" s="1"/>
  <c r="U16" i="35" s="1"/>
  <c r="W19" i="35"/>
  <c r="X19" i="35" s="1"/>
  <c r="U19" i="35" s="1"/>
  <c r="W20" i="35"/>
  <c r="X20" i="35" s="1"/>
  <c r="U20" i="35" s="1"/>
  <c r="W19" i="33"/>
  <c r="X19" i="33" s="1"/>
  <c r="U19" i="33" s="1"/>
  <c r="W16" i="34"/>
  <c r="X16" i="34" s="1"/>
  <c r="U16" i="34" s="1"/>
  <c r="W15" i="35"/>
  <c r="X15" i="35" s="1"/>
  <c r="U15" i="35" s="1"/>
  <c r="W19" i="34"/>
  <c r="X19" i="34" s="1"/>
  <c r="U19" i="34" s="1"/>
  <c r="W13" i="35"/>
  <c r="X13" i="35" s="1"/>
  <c r="U13" i="35" s="1"/>
  <c r="W18" i="35"/>
  <c r="X18" i="35" s="1"/>
  <c r="U18" i="35" s="1"/>
  <c r="W18" i="32"/>
  <c r="X18" i="32" s="1"/>
  <c r="U18" i="32" s="1"/>
  <c r="W14" i="32"/>
  <c r="X14" i="32" s="1"/>
  <c r="U14" i="32" s="1"/>
  <c r="W18" i="33"/>
  <c r="X18" i="33" s="1"/>
  <c r="U18" i="33" s="1"/>
  <c r="W14" i="34"/>
  <c r="X14" i="34" s="1"/>
  <c r="U14" i="34" s="1"/>
  <c r="W21" i="34"/>
  <c r="X21" i="34" s="1"/>
  <c r="U21" i="34" s="1"/>
  <c r="W18" i="34"/>
  <c r="X18" i="34" s="1"/>
  <c r="U18" i="34" s="1"/>
  <c r="W16" i="32"/>
  <c r="X16" i="32" s="1"/>
  <c r="U16" i="32" s="1"/>
  <c r="W13" i="32"/>
  <c r="X13" i="32" s="1"/>
  <c r="U13" i="32" s="1"/>
  <c r="W14" i="33"/>
  <c r="X14" i="33" s="1"/>
  <c r="U14" i="33" s="1"/>
  <c r="W15" i="33"/>
  <c r="X15" i="33" s="1"/>
  <c r="U15" i="33" s="1"/>
  <c r="W20" i="33"/>
  <c r="X20" i="33" s="1"/>
  <c r="U20" i="33" s="1"/>
  <c r="W19" i="32"/>
  <c r="X19" i="32" s="1"/>
  <c r="U19" i="32" s="1"/>
  <c r="W21" i="33"/>
  <c r="X21" i="33" s="1"/>
  <c r="U21" i="33" s="1"/>
  <c r="W13" i="34"/>
  <c r="X13" i="34" s="1"/>
  <c r="U13" i="34" s="1"/>
  <c r="W21" i="35"/>
  <c r="X21" i="35" s="1"/>
  <c r="U21" i="35" s="1"/>
  <c r="W21" i="32"/>
  <c r="X21" i="32" s="1"/>
  <c r="U21" i="32" s="1"/>
  <c r="W16" i="33"/>
  <c r="X16" i="33" s="1"/>
  <c r="U16" i="33" s="1"/>
  <c r="X19" i="28"/>
  <c r="Y19" i="28" s="1"/>
  <c r="V19" i="28" s="1"/>
  <c r="X15" i="28"/>
  <c r="Y15" i="28" s="1"/>
  <c r="V15" i="28" s="1"/>
  <c r="X21" i="28"/>
  <c r="Y21" i="28" s="1"/>
  <c r="V21" i="28" s="1"/>
  <c r="X14" i="28"/>
  <c r="Y14" i="28" s="1"/>
  <c r="V14" i="28" s="1"/>
  <c r="X18" i="28"/>
  <c r="Y18" i="28" s="1"/>
  <c r="V18" i="28" s="1"/>
  <c r="X20" i="28"/>
  <c r="Y20" i="28" s="1"/>
  <c r="V20" i="28" s="1"/>
  <c r="X13" i="28"/>
  <c r="Y13" i="28" s="1"/>
  <c r="V13" i="28" s="1"/>
  <c r="X16" i="28"/>
  <c r="Y16" i="28" s="1"/>
  <c r="V16" i="28" s="1"/>
  <c r="V15" i="27"/>
  <c r="V13" i="27"/>
  <c r="V16" i="27"/>
  <c r="V20" i="27"/>
  <c r="V14" i="27"/>
  <c r="V21" i="27"/>
  <c r="V19" i="27"/>
  <c r="V18" i="27"/>
  <c r="M26" i="4" l="1"/>
  <c r="M14" i="4"/>
  <c r="M9" i="4"/>
  <c r="M4" i="4"/>
  <c r="M15" i="4"/>
  <c r="M23" i="4"/>
  <c r="M29" i="4"/>
  <c r="M12" i="4"/>
  <c r="M25" i="4"/>
  <c r="M28" i="4"/>
  <c r="M19" i="4"/>
  <c r="M30" i="4" l="1"/>
  <c r="N30" i="4" s="1"/>
  <c r="M8" i="4"/>
  <c r="M3" i="4"/>
  <c r="N3" i="4" s="1"/>
  <c r="M17" i="4"/>
  <c r="N17" i="4" s="1"/>
  <c r="M16" i="4"/>
  <c r="O16" i="4" s="1"/>
  <c r="P16" i="4" s="1"/>
  <c r="K16" i="4" s="1"/>
  <c r="L16" i="4" s="1"/>
  <c r="M24" i="4"/>
  <c r="O24" i="4" s="1"/>
  <c r="P24" i="4" s="1"/>
  <c r="K24" i="4" s="1"/>
  <c r="L24" i="4" s="1"/>
  <c r="N23" i="4"/>
  <c r="O23" i="4"/>
  <c r="P23" i="4" s="1"/>
  <c r="K23" i="4" s="1"/>
  <c r="L23" i="4" s="1"/>
  <c r="N12" i="4"/>
  <c r="O12" i="4"/>
  <c r="P12" i="4" s="1"/>
  <c r="K12" i="4" s="1"/>
  <c r="L12" i="4" s="1"/>
  <c r="N19" i="4"/>
  <c r="O19" i="4"/>
  <c r="P19" i="4" s="1"/>
  <c r="K19" i="4" s="1"/>
  <c r="L19" i="4" s="1"/>
  <c r="N8" i="4"/>
  <c r="O8" i="4"/>
  <c r="P8" i="4" s="1"/>
  <c r="K8" i="4" s="1"/>
  <c r="L8" i="4" s="1"/>
  <c r="N15" i="4"/>
  <c r="O15" i="4"/>
  <c r="P15" i="4" s="1"/>
  <c r="K15" i="4" s="1"/>
  <c r="L15" i="4" s="1"/>
  <c r="N28" i="4"/>
  <c r="O28" i="4"/>
  <c r="P28" i="4" s="1"/>
  <c r="K28" i="4" s="1"/>
  <c r="L28" i="4" s="1"/>
  <c r="O29" i="4"/>
  <c r="P29" i="4" s="1"/>
  <c r="K29" i="4" s="1"/>
  <c r="L29" i="4" s="1"/>
  <c r="N29" i="4"/>
  <c r="N14" i="4"/>
  <c r="O14" i="4"/>
  <c r="P14" i="4" s="1"/>
  <c r="K14" i="4" s="1"/>
  <c r="L14" i="4" s="1"/>
  <c r="O9" i="4"/>
  <c r="P9" i="4" s="1"/>
  <c r="K9" i="4" s="1"/>
  <c r="L9" i="4" s="1"/>
  <c r="N9" i="4"/>
  <c r="N25" i="4"/>
  <c r="O25" i="4"/>
  <c r="P25" i="4" s="1"/>
  <c r="K25" i="4" s="1"/>
  <c r="L25" i="4" s="1"/>
  <c r="N26" i="4"/>
  <c r="O26" i="4"/>
  <c r="P26" i="4" s="1"/>
  <c r="K26" i="4" s="1"/>
  <c r="L26" i="4" s="1"/>
  <c r="N4" i="4"/>
  <c r="O4" i="4"/>
  <c r="P4" i="4" s="1"/>
  <c r="K4" i="4" s="1"/>
  <c r="L4" i="4" s="1"/>
  <c r="M13" i="4"/>
  <c r="M18" i="4"/>
  <c r="M27" i="4"/>
  <c r="M2" i="4"/>
  <c r="M7" i="4"/>
  <c r="M10" i="4"/>
  <c r="M20" i="4"/>
  <c r="M22" i="4"/>
  <c r="M5" i="4"/>
  <c r="M6" i="4"/>
  <c r="N24" i="4" l="1"/>
  <c r="O17" i="4"/>
  <c r="P17" i="4" s="1"/>
  <c r="K17" i="4" s="1"/>
  <c r="L17" i="4" s="1"/>
  <c r="O3" i="4"/>
  <c r="P3" i="4" s="1"/>
  <c r="K3" i="4" s="1"/>
  <c r="L3" i="4" s="1"/>
  <c r="O30" i="4"/>
  <c r="P30" i="4" s="1"/>
  <c r="K30" i="4" s="1"/>
  <c r="L30" i="4" s="1"/>
  <c r="N2" i="4"/>
  <c r="O2" i="4"/>
  <c r="P2" i="4" s="1"/>
  <c r="K2" i="4" s="1"/>
  <c r="L2" i="4" s="1"/>
  <c r="N16" i="4"/>
  <c r="O13" i="4"/>
  <c r="P13" i="4" s="1"/>
  <c r="K13" i="4" s="1"/>
  <c r="L13" i="4" s="1"/>
  <c r="N13" i="4"/>
  <c r="N10" i="4"/>
  <c r="O10" i="4"/>
  <c r="P10" i="4" s="1"/>
  <c r="K10" i="4" s="1"/>
  <c r="L10" i="4" s="1"/>
  <c r="N6" i="4"/>
  <c r="O6" i="4"/>
  <c r="P6" i="4" s="1"/>
  <c r="K6" i="4" s="1"/>
  <c r="L6" i="4" s="1"/>
  <c r="N5" i="4"/>
  <c r="O5" i="4"/>
  <c r="P5" i="4" s="1"/>
  <c r="K5" i="4" s="1"/>
  <c r="L5" i="4" s="1"/>
  <c r="N20" i="4"/>
  <c r="O20" i="4"/>
  <c r="P20" i="4" s="1"/>
  <c r="K20" i="4" s="1"/>
  <c r="L20" i="4" s="1"/>
  <c r="N7" i="4"/>
  <c r="O7" i="4"/>
  <c r="P7" i="4" s="1"/>
  <c r="K7" i="4" s="1"/>
  <c r="L7" i="4" s="1"/>
  <c r="N22" i="4"/>
  <c r="O22" i="4"/>
  <c r="P22" i="4" s="1"/>
  <c r="K22" i="4" s="1"/>
  <c r="L22" i="4" s="1"/>
  <c r="N27" i="4"/>
  <c r="O27" i="4"/>
  <c r="P27" i="4" s="1"/>
  <c r="K27" i="4" s="1"/>
  <c r="L27" i="4" s="1"/>
  <c r="N18" i="4"/>
  <c r="O18" i="4"/>
  <c r="P18" i="4" s="1"/>
  <c r="K18" i="4" s="1"/>
  <c r="L1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chelms@socal.rr.com</author>
  </authors>
  <commentList>
    <comment ref="H1" authorId="0" shapeId="0" xr:uid="{D6E69458-6BB6-49D2-8BC8-08CFCA4907C3}">
      <text>
        <r>
          <rPr>
            <sz val="9"/>
            <color indexed="81"/>
            <rFont val="Tahoma"/>
            <family val="2"/>
          </rPr>
          <t>Estimated based on 21% propellant fraction in trial simulations, with 40% reserve for return</t>
        </r>
      </text>
    </comment>
    <comment ref="Q1" authorId="0" shapeId="0" xr:uid="{BACD548D-B949-465D-876B-3210D3EABFF0}">
      <text>
        <r>
          <rPr>
            <sz val="9"/>
            <color indexed="81"/>
            <rFont val="Tahoma"/>
            <family val="2"/>
          </rPr>
          <t>Estimated based on 21% propellant fraction in trial simulations</t>
        </r>
      </text>
    </comment>
    <comment ref="H32" authorId="0" shapeId="0" xr:uid="{58ECEA30-329C-4DFA-8353-49A02E597BCC}">
      <text>
        <r>
          <rPr>
            <sz val="9"/>
            <color indexed="81"/>
            <rFont val="Tahoma"/>
            <family val="2"/>
          </rPr>
          <t>Estimated based on 21% propellant fraction in trial simulations, with 40% reserve for return</t>
        </r>
      </text>
    </comment>
    <comment ref="Q32" authorId="0" shapeId="0" xr:uid="{8F435BAF-9DDE-48F4-9BE8-B3EB15E692CA}">
      <text>
        <r>
          <rPr>
            <sz val="9"/>
            <color indexed="81"/>
            <rFont val="Tahoma"/>
            <family val="2"/>
          </rPr>
          <t>Estimated based on 21% propellant fraction in trial simulations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chelms@socal.rr.com</author>
  </authors>
  <commentList>
    <comment ref="I1" authorId="0" shapeId="0" xr:uid="{D2A63E89-EBB8-4C8C-8965-D98E3505BFFE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Nominal Lambda is -0.36 for 28.5 degrees or -0.65 for 51.2 degrees.  Note that this value must be optimized for any given mass to orbit or season of flight.</t>
        </r>
      </text>
    </comment>
    <comment ref="J1" authorId="0" shapeId="0" xr:uid="{837F63AE-EC0B-457F-BB42-201CCE3CABFA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Return Fuel</t>
        </r>
      </text>
    </comment>
    <comment ref="O1" authorId="0" shapeId="0" xr:uid="{86E11DD6-7AE2-4BBE-98E6-A32B4EB7B23A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NOTE:
"Short" means the inclination change is not agressive enough. Lower the Lambda.
"Rimming" means the inclination change is too agressive. Raise the Lambda.
</t>
        </r>
      </text>
    </comment>
    <comment ref="R13" authorId="0" shapeId="0" xr:uid="{67E5C85C-B6F1-47CE-AA33-429ABD7E197E}">
      <text>
        <r>
          <rPr>
            <b/>
            <sz val="9"/>
            <color indexed="81"/>
            <rFont val="Tahoma"/>
            <family val="2"/>
          </rPr>
          <t>Reserve from last run</t>
        </r>
      </text>
    </comment>
    <comment ref="T13" authorId="0" shapeId="0" xr:uid="{7BA40E68-A51E-434C-B8D1-13493D07F43D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U13" authorId="0" shapeId="0" xr:uid="{5B51B924-EA29-4354-90F3-70CF80DB02BF}">
      <text>
        <r>
          <rPr>
            <b/>
            <sz val="9"/>
            <color indexed="81"/>
            <rFont val="Tahoma"/>
            <family val="2"/>
          </rPr>
          <t>Spreadsheet calculates.  Enter to Mprop for Run</t>
        </r>
      </text>
    </comment>
    <comment ref="T18" authorId="0" shapeId="0" xr:uid="{EE23AB51-CD6C-42DC-8CB6-986ED542879D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T23" authorId="0" shapeId="0" xr:uid="{A9350D58-9FEF-4D6A-B0A0-5D499D66C44C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  <comment ref="T33" authorId="0" shapeId="0" xr:uid="{164BCFAF-E569-4341-BEDA-B7485C49096C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chelms@socal.rr.com</author>
  </authors>
  <commentList>
    <comment ref="I1" authorId="0" shapeId="0" xr:uid="{9DD53272-B892-4F83-A224-2CC455686CB1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Nominal Lambda is -0.36 for 28.5 degrees or -0.65 for 51.2 degrees.  Note that this value must be optimized for any given mass to orbit or season of flight.</t>
        </r>
      </text>
    </comment>
    <comment ref="J1" authorId="0" shapeId="0" xr:uid="{88205744-2940-4C82-85A9-832EB9BF42D2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Return Fuel</t>
        </r>
      </text>
    </comment>
    <comment ref="O1" authorId="0" shapeId="0" xr:uid="{A82DA904-BFFC-4B4B-8697-954C8740E4D3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NOTE:
"Short" means the inclination change is not agressive enough. Lower the Lambda.
"Rimming" means the inclination change is too agressive. Raise the Lambda.
</t>
        </r>
      </text>
    </comment>
    <comment ref="R13" authorId="0" shapeId="0" xr:uid="{FDF317C5-7C8E-43E3-BC4C-784C1762F42D}">
      <text>
        <r>
          <rPr>
            <b/>
            <sz val="9"/>
            <color indexed="81"/>
            <rFont val="Tahoma"/>
            <family val="2"/>
          </rPr>
          <t>Reserve from last run</t>
        </r>
      </text>
    </comment>
    <comment ref="T13" authorId="0" shapeId="0" xr:uid="{9BD97AB3-D084-46BB-8DBC-F277232CAB35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U13" authorId="0" shapeId="0" xr:uid="{935F0011-CF69-42E6-841A-8BC0595A50F2}">
      <text>
        <r>
          <rPr>
            <b/>
            <sz val="9"/>
            <color indexed="81"/>
            <rFont val="Tahoma"/>
            <family val="2"/>
          </rPr>
          <t>Spreadsheet calculates.  Enter to Mprop for Run</t>
        </r>
      </text>
    </comment>
    <comment ref="T18" authorId="0" shapeId="0" xr:uid="{A8395379-E9EB-44A0-B3FC-097A5097AAF9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T23" authorId="0" shapeId="0" xr:uid="{271A3E7D-D350-46C0-BCD7-B83DBB1F265F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  <comment ref="T33" authorId="0" shapeId="0" xr:uid="{27E421CA-C3F1-4E6B-8D81-CC8F4EC5CEDC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chelms@socal.rr.com</author>
  </authors>
  <commentList>
    <comment ref="H1" authorId="0" shapeId="0" xr:uid="{EDF5044F-2A49-43E8-A703-9C33FDB57502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Nominal Lambda is -0.36 for 28.5 degrees or -0.65 for 51.2 degrees.  Note that this value must be optimized for any given mass to orbit or season of flight.</t>
        </r>
      </text>
    </comment>
    <comment ref="I1" authorId="0" shapeId="0" xr:uid="{FD1F2737-07D6-4919-BB19-EB4919591A39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Return Fuel</t>
        </r>
      </text>
    </comment>
    <comment ref="N1" authorId="0" shapeId="0" xr:uid="{C5C3BBAB-D8C4-4400-AB4A-E1BD4F55B619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NOTE:
"Short" means the inclination change is not agressive enough. Lower the Lambda.
"Rimming" means the inclination change is too agressive. Raise the Lambda.
</t>
        </r>
      </text>
    </comment>
    <comment ref="Q13" authorId="0" shapeId="0" xr:uid="{09A79034-E238-4653-A909-D6CC550C0288}">
      <text>
        <r>
          <rPr>
            <b/>
            <sz val="9"/>
            <color indexed="81"/>
            <rFont val="Tahoma"/>
            <family val="2"/>
          </rPr>
          <t>Reserve from last run</t>
        </r>
      </text>
    </comment>
    <comment ref="S13" authorId="0" shapeId="0" xr:uid="{3F0EA777-0C32-4A3F-9625-8BF53804A58F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T13" authorId="0" shapeId="0" xr:uid="{39070A36-2773-4C5A-9459-A29876D2E5A1}">
      <text>
        <r>
          <rPr>
            <b/>
            <sz val="9"/>
            <color indexed="81"/>
            <rFont val="Tahoma"/>
            <family val="2"/>
          </rPr>
          <t>Spreadsheet calculates.  Enter to Mprop for Run</t>
        </r>
      </text>
    </comment>
    <comment ref="S18" authorId="0" shapeId="0" xr:uid="{691F3E29-F63B-477F-80A4-C5AE72123CCC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S23" authorId="0" shapeId="0" xr:uid="{F52DF97C-9862-4103-9FF9-AFF19DDB937B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  <comment ref="S33" authorId="0" shapeId="0" xr:uid="{A3618F9C-A1A4-45C1-8B33-F21703B5BF05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chelms@socal.rr.com</author>
  </authors>
  <commentList>
    <comment ref="H1" authorId="0" shapeId="0" xr:uid="{9EB61A01-932A-42A2-804D-1122AE2A68B0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Nominal Lambda is -0.36 for 28.5 degrees or -0.65 for 51.2 degrees.  Note that this value must be optimized for any given mass to orbit or season of flight.</t>
        </r>
      </text>
    </comment>
    <comment ref="I1" authorId="0" shapeId="0" xr:uid="{A21B0EDB-B5C7-4E32-8831-7009F9FEB2DA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Return Fuel</t>
        </r>
      </text>
    </comment>
    <comment ref="N1" authorId="0" shapeId="0" xr:uid="{D5BE3722-7C78-4AEB-85D6-A4730FD08C22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NOTE:
"Short" means the inclination change is not agressive enough. Lower the Lambda.
"Rimming" means the inclination change is too agressive. Raise the Lambda.
</t>
        </r>
      </text>
    </comment>
    <comment ref="Q13" authorId="0" shapeId="0" xr:uid="{C535BE3F-E95F-42E8-804F-4B2A2DB6420C}">
      <text>
        <r>
          <rPr>
            <b/>
            <sz val="9"/>
            <color indexed="81"/>
            <rFont val="Tahoma"/>
            <family val="2"/>
          </rPr>
          <t>Reserve from last run</t>
        </r>
      </text>
    </comment>
    <comment ref="S13" authorId="0" shapeId="0" xr:uid="{D0FDAF66-0C5A-40CF-8909-90D644D865C4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T13" authorId="0" shapeId="0" xr:uid="{766548ED-8CA9-4764-886A-0931B1BC2689}">
      <text>
        <r>
          <rPr>
            <b/>
            <sz val="9"/>
            <color indexed="81"/>
            <rFont val="Tahoma"/>
            <family val="2"/>
          </rPr>
          <t>Spreadsheet calculates.  Enter to Mprop for Run</t>
        </r>
      </text>
    </comment>
    <comment ref="S18" authorId="0" shapeId="0" xr:uid="{C48DB324-9055-477B-BC15-5B73828A67EE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S23" authorId="0" shapeId="0" xr:uid="{28615679-5B6C-4C0F-805E-950420192344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  <comment ref="S33" authorId="0" shapeId="0" xr:uid="{2DE8A4B5-04B0-4124-86DC-70DAFD72B9E6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chelms@socal.rr.com</author>
  </authors>
  <commentList>
    <comment ref="H1" authorId="0" shapeId="0" xr:uid="{8F8A0BAA-32DF-43BD-AA2E-25A1CD380ADB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Nominal Lambda is -0.36 for 28.5 degrees or -0.65 for 51.2 degrees.  Note that this value must be optimized for any given mass to orbit or season of flight.</t>
        </r>
      </text>
    </comment>
    <comment ref="I1" authorId="0" shapeId="0" xr:uid="{BF29FCD3-CACD-41F2-909F-A733EEEEC9DA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Return Fuel</t>
        </r>
      </text>
    </comment>
    <comment ref="N1" authorId="0" shapeId="0" xr:uid="{794B0B7E-00B6-4F10-8EA0-4AA72BC73A44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NOTE:
"Short" means the inclination change is not agressive enough. Lower the Lambda.
"Rimming" means the inclination change is too agressive. Raise the Lambda.
</t>
        </r>
      </text>
    </comment>
    <comment ref="Q13" authorId="0" shapeId="0" xr:uid="{C1CB70D4-7D4A-40B3-A5FF-B418D18A0C5E}">
      <text>
        <r>
          <rPr>
            <b/>
            <sz val="9"/>
            <color indexed="81"/>
            <rFont val="Tahoma"/>
            <family val="2"/>
          </rPr>
          <t>Reserve from last run</t>
        </r>
      </text>
    </comment>
    <comment ref="S13" authorId="0" shapeId="0" xr:uid="{AE66796B-8552-4868-BDC8-E4932C8A06A5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T13" authorId="0" shapeId="0" xr:uid="{A05001CB-1F5E-4313-A45D-CAFCDFBE73CF}">
      <text>
        <r>
          <rPr>
            <b/>
            <sz val="9"/>
            <color indexed="81"/>
            <rFont val="Tahoma"/>
            <family val="2"/>
          </rPr>
          <t>Spreadsheet calculates.  Enter to Mprop for Run</t>
        </r>
      </text>
    </comment>
    <comment ref="S18" authorId="0" shapeId="0" xr:uid="{1104E522-F76E-4AE7-AA01-085968E5FDA4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S23" authorId="0" shapeId="0" xr:uid="{7B826FF2-4447-442E-AE6E-D2D136AF6AD0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  <comment ref="S33" authorId="0" shapeId="0" xr:uid="{7AD251D2-20CF-4DC0-821B-8F5B94EE7298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chelms@socal.rr.com</author>
  </authors>
  <commentList>
    <comment ref="H1" authorId="0" shapeId="0" xr:uid="{8D818B01-918C-4BAD-BE2A-D19FF25FDB61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Nominal Lambda is -0.36 for 28.5 degrees or -0.65 for 51.2 degrees.  Note that this value must be optimized for any given mass to orbit or season of flight.</t>
        </r>
      </text>
    </comment>
    <comment ref="I1" authorId="0" shapeId="0" xr:uid="{89D219A9-3931-42F4-8E55-0B85AC5DD71E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Return Fuel</t>
        </r>
      </text>
    </comment>
    <comment ref="N1" authorId="0" shapeId="0" xr:uid="{0087D60A-5789-49F5-890E-CBAE04DFFCAC}">
      <text>
        <r>
          <rPr>
            <b/>
            <sz val="9"/>
            <color indexed="81"/>
            <rFont val="Tahoma"/>
            <family val="2"/>
          </rPr>
          <t>chelms@socal.rr.com:</t>
        </r>
        <r>
          <rPr>
            <sz val="9"/>
            <color indexed="81"/>
            <rFont val="Tahoma"/>
            <family val="2"/>
          </rPr>
          <t xml:space="preserve">
NOTE:
"Short" means the inclination change is not agressive enough. Lower the Lambda.
"Rimming" means the inclination change is too agressive. Raise the Lambda.
</t>
        </r>
      </text>
    </comment>
    <comment ref="Q13" authorId="0" shapeId="0" xr:uid="{54204E2F-795B-454A-8B5E-266767AD356A}">
      <text>
        <r>
          <rPr>
            <b/>
            <sz val="9"/>
            <color indexed="81"/>
            <rFont val="Tahoma"/>
            <family val="2"/>
          </rPr>
          <t>Reserve from last run</t>
        </r>
      </text>
    </comment>
    <comment ref="S13" authorId="0" shapeId="0" xr:uid="{6CA568D5-FFE8-4EE5-9FCE-B9CC023F4240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T13" authorId="0" shapeId="0" xr:uid="{F156A935-4F61-4D40-8B3A-65CD962DA8E5}">
      <text>
        <r>
          <rPr>
            <b/>
            <sz val="9"/>
            <color indexed="81"/>
            <rFont val="Tahoma"/>
            <family val="2"/>
          </rPr>
          <t>Spreadsheet calculates.  Enter to Mprop for Run</t>
        </r>
      </text>
    </comment>
    <comment ref="S18" authorId="0" shapeId="0" xr:uid="{50021B2D-3EF8-4773-815A-C4D92412C6E8}">
      <text>
        <r>
          <rPr>
            <b/>
            <sz val="9"/>
            <color indexed="81"/>
            <rFont val="Tahoma"/>
            <family val="2"/>
          </rPr>
          <t>Initial Value, calculate and enter.</t>
        </r>
      </text>
    </comment>
    <comment ref="S23" authorId="0" shapeId="0" xr:uid="{F41B6BA9-1B6B-4462-9D96-9805F2C8B837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  <comment ref="S33" authorId="0" shapeId="0" xr:uid="{DC194D4E-F224-47AF-98E6-76C90F2E7548}">
      <text>
        <r>
          <rPr>
            <b/>
            <sz val="9"/>
            <color indexed="81"/>
            <rFont val="Tahoma"/>
            <family val="2"/>
          </rPr>
          <t>Calculated based on last run</t>
        </r>
      </text>
    </comment>
  </commentList>
</comments>
</file>

<file path=xl/sharedStrings.xml><?xml version="1.0" encoding="utf-8"?>
<sst xmlns="http://schemas.openxmlformats.org/spreadsheetml/2006/main" count="813" uniqueCount="202">
  <si>
    <t>Epoch</t>
  </si>
  <si>
    <t>Inclination</t>
  </si>
  <si>
    <t>20 Jun 2020 21:43 UTC</t>
  </si>
  <si>
    <t>22 Sep 2020 13:30 UTC</t>
  </si>
  <si>
    <t>21 Dec 2020 10:02 UTC</t>
  </si>
  <si>
    <t>SMA:</t>
  </si>
  <si>
    <t xml:space="preserve">ECC: </t>
  </si>
  <si>
    <t>RAAN</t>
  </si>
  <si>
    <t>AOP</t>
  </si>
  <si>
    <t>TA</t>
  </si>
  <si>
    <t>Starting Orbit</t>
  </si>
  <si>
    <t>Inclination1</t>
  </si>
  <si>
    <t>Inclination2</t>
  </si>
  <si>
    <t>20 Mar 2020 03:49UTC</t>
  </si>
  <si>
    <t>Fuel Used (kg)</t>
  </si>
  <si>
    <t>Flight Time (days)</t>
  </si>
  <si>
    <t>Arrived Inclination (deg)</t>
  </si>
  <si>
    <t>Optimum Lambda</t>
  </si>
  <si>
    <t>Arrived Ecc</t>
  </si>
  <si>
    <t>Mbo</t>
  </si>
  <si>
    <t>Image</t>
  </si>
  <si>
    <t>Ms</t>
  </si>
  <si>
    <t>Mpl</t>
  </si>
  <si>
    <t>Mw</t>
  </si>
  <si>
    <t>Configuration</t>
  </si>
  <si>
    <t>M0</t>
  </si>
  <si>
    <t>16 HET, 8060W</t>
  </si>
  <si>
    <t>16 HET, 5999W</t>
  </si>
  <si>
    <t>16 HET, 4063 W</t>
  </si>
  <si>
    <t>32 HET, 4063 W</t>
  </si>
  <si>
    <t>32 HET, 5999W</t>
  </si>
  <si>
    <t>32 HET, 8060W</t>
  </si>
  <si>
    <t>64 HET, 4063 W</t>
  </si>
  <si>
    <t>64 HET, 5999W</t>
  </si>
  <si>
    <t>64 HET, 8060W</t>
  </si>
  <si>
    <t>Power (kW)</t>
  </si>
  <si>
    <t>Mprop</t>
  </si>
  <si>
    <t>Rtn Mprop</t>
  </si>
  <si>
    <t>Source:</t>
  </si>
  <si>
    <t>IEPC-13-317, 2013, Table 1. BHT-8000 Throttle Table.</t>
  </si>
  <si>
    <t>Voltage</t>
  </si>
  <si>
    <t>Power</t>
  </si>
  <si>
    <t>Thrust (N)</t>
  </si>
  <si>
    <t>Isp</t>
  </si>
  <si>
    <t>Efficiency</t>
  </si>
  <si>
    <t>Report Files</t>
  </si>
  <si>
    <t>Fuel Increment</t>
  </si>
  <si>
    <t>Rsrv at GEO</t>
  </si>
  <si>
    <t>Run1</t>
  </si>
  <si>
    <t>Run2</t>
  </si>
  <si>
    <t>Run3</t>
  </si>
  <si>
    <t>Return</t>
  </si>
  <si>
    <t>Actual Reserve</t>
  </si>
  <si>
    <t>Revs</t>
  </si>
  <si>
    <t>Return Mprop</t>
  </si>
  <si>
    <t>Mprop plus reserve estimate</t>
  </si>
  <si>
    <t>Delta V</t>
  </si>
  <si>
    <t>m/sec</t>
  </si>
  <si>
    <t>degrees</t>
  </si>
  <si>
    <t>km</t>
  </si>
  <si>
    <t>Thruster characteristics:</t>
  </si>
  <si>
    <t>Mass Factor 4063</t>
  </si>
  <si>
    <t>Mass Factor 5999</t>
  </si>
  <si>
    <t>Mass Factor 8060</t>
  </si>
  <si>
    <t>Rocket Equ Fudge</t>
  </si>
  <si>
    <t>ArbitraryFudge</t>
  </si>
  <si>
    <t>Fudged Value</t>
  </si>
  <si>
    <t>2nd order Fudge</t>
  </si>
  <si>
    <t>Compare the fuel usage between inclinations and seasons.</t>
  </si>
  <si>
    <t>Mp (28.5)</t>
  </si>
  <si>
    <t>Mp(51.2)</t>
  </si>
  <si>
    <t>Season</t>
  </si>
  <si>
    <t>Spring</t>
  </si>
  <si>
    <t>Summer</t>
  </si>
  <si>
    <t>Autumn</t>
  </si>
  <si>
    <t>Winter</t>
  </si>
  <si>
    <t>Compare the flight time between inclinations and seasons</t>
  </si>
  <si>
    <t>tf (28.5)</t>
  </si>
  <si>
    <t>tf (51.2)</t>
  </si>
  <si>
    <t>16x8060</t>
  </si>
  <si>
    <t>32x8060</t>
  </si>
  <si>
    <t>64x4063</t>
  </si>
  <si>
    <t>Time of Flight</t>
  </si>
  <si>
    <t>Fuel Used</t>
  </si>
  <si>
    <t>Plot the fuel use  for different configurations</t>
  </si>
  <si>
    <t>Tabulate the return fuel  for different configurations</t>
  </si>
  <si>
    <t>Tabulate the time of flight  for different configurations</t>
  </si>
  <si>
    <t>Fuel for Return Reserve</t>
  </si>
  <si>
    <t>20 Mar (8T)</t>
  </si>
  <si>
    <t>20 Jun (8T)</t>
  </si>
  <si>
    <t>22 Sep (8T)</t>
  </si>
  <si>
    <t>21 Dec (8T)</t>
  </si>
  <si>
    <t>20 Mar (12T)</t>
  </si>
  <si>
    <t>20 Jun (12T)</t>
  </si>
  <si>
    <t>22 Sep (12T)</t>
  </si>
  <si>
    <t>21 Dec (12T)</t>
  </si>
  <si>
    <t>`</t>
  </si>
  <si>
    <t>March</t>
  </si>
  <si>
    <t>June</t>
  </si>
  <si>
    <t>Sept</t>
  </si>
  <si>
    <t>Dec</t>
  </si>
  <si>
    <t>ReportFile_AlfanoXfer_20Mar2020_51.2i_32X8061_8T_Run2.xlsx</t>
  </si>
  <si>
    <t>ReportFile_AlfanoXfer_20Jun2020_51.2i_32X8061_8T_Run2.xlsx</t>
  </si>
  <si>
    <t>ReportFile_AlfanoXfer_22Sep2020_51.2i_32x8061_8T_Run2.xlsx</t>
  </si>
  <si>
    <t>ReportFile_AlfanoXfer_21Dec2020_51.2i_32X8061_8T_Run2.xlsx</t>
  </si>
  <si>
    <t>ReportFile_AlfanoXfer_20Mar2020_51.2i_32X8061_12T_Run2.xlsx</t>
  </si>
  <si>
    <t>ReportFile_AlfanoXfer_20Jun2020_51.2i_32X8061_12T_Run2.xlsx</t>
  </si>
  <si>
    <t>ReportFile_AlfanoXfer_22Sep2020_51.2i_32x8061_12T_Run2.xlsx</t>
  </si>
  <si>
    <t>ReportFile_AlfanoXfer_21Dec2020_51.2i_32X8061_12T_Run2.xlsx</t>
  </si>
  <si>
    <t>ReportFile_AlfanoXfer_21Dec2020_28.5i_32X8061_Return.xlsx</t>
  </si>
  <si>
    <t>ReportFile_AlfanoXfer_20Jun2020_51.2i_32X8061_Return.xlsx</t>
  </si>
  <si>
    <t>ReportFile_AlfanoXfer_22Sep2020_51.2i_32x8061_Return.xlsx</t>
  </si>
  <si>
    <t>ReportFile_AlfanoXfer_20Mar2020_51.2i_32X8061_Return.xlsx</t>
  </si>
  <si>
    <t>ReportFile_AlfanoXfer_20Mar2020_28.5i_32X8061_Return.xlsx</t>
  </si>
  <si>
    <t>ReportFile_AlfanoXfer_22Sep2020_28.5i_32x8061_Return.xlsx</t>
  </si>
  <si>
    <t>ReportFile_AlfanoXfer_20Jun2020_28.5i_32X8061_Return.xlsx</t>
  </si>
  <si>
    <t>ReportFile_AlfanoXfer_20Mar2020_28.5i_32X8061_12T_Run2.xlsx</t>
  </si>
  <si>
    <t>ReportFile_AlfanoXfer_20Jun2020_28.5i_32X8061_12T_Run2.xlsx</t>
  </si>
  <si>
    <t>ReportFile_AlfanoXfer_22Sep2020_28.5i_32x8061_12T_Run2.xlsx</t>
  </si>
  <si>
    <t>ReportFile_AlfanoXfer_21Dec2020_28.5i_32X8061_12T_Run2.xlsx</t>
  </si>
  <si>
    <t>ReportFile_AlfanoXfer_20Jun2020_28.5i_32X8061_8T_Run2.xlsx</t>
  </si>
  <si>
    <t>ReportFile_AlfanoXfer_20Mar2020_28.5i_32X8061_8T_Run2.xlsx</t>
  </si>
  <si>
    <t>ReportFile_AlfanoXfer_21Dec2020_28.5i_32X8061_8T_Run2.xlsx</t>
  </si>
  <si>
    <t>ReportFile_AlfanoXfer_22Sep2020_28.5i_32x8061_8T_Run2.xlsx</t>
  </si>
  <si>
    <t>51.2 Xfer Mp</t>
  </si>
  <si>
    <t>51.2 Rsv Mp</t>
  </si>
  <si>
    <t>28.5 Xfer Mp</t>
  </si>
  <si>
    <t>28.5 Rsv Mp</t>
  </si>
  <si>
    <t>8-ton</t>
  </si>
  <si>
    <t>12-ton</t>
  </si>
  <si>
    <t>32x8060 (28.5)</t>
  </si>
  <si>
    <t>32x8061 (28.5)</t>
  </si>
  <si>
    <t>32x8060 (51.2)</t>
  </si>
  <si>
    <t>32x8060(51.2)</t>
  </si>
  <si>
    <t>32x8061 (51.2)</t>
  </si>
  <si>
    <t>Alpha</t>
  </si>
  <si>
    <t>1/mbo - 1/m0</t>
  </si>
  <si>
    <t>eta for 0.57 eff</t>
  </si>
  <si>
    <t>eta for 0.60 eff</t>
  </si>
  <si>
    <t>opt mbo</t>
  </si>
  <si>
    <t>opt mu-w</t>
  </si>
  <si>
    <t>mu-w</t>
  </si>
  <si>
    <t>Criteria</t>
  </si>
  <si>
    <t>32 HET 4537W</t>
  </si>
  <si>
    <t>32 HET 6295W</t>
  </si>
  <si>
    <t>32 HET 8061W</t>
  </si>
  <si>
    <t>64 HET 6295W</t>
  </si>
  <si>
    <t>64 HET 8061W</t>
  </si>
  <si>
    <t>Mp+rtn</t>
  </si>
  <si>
    <t>Mp</t>
  </si>
  <si>
    <t>Fuel usage between inclinations and seasons.</t>
  </si>
  <si>
    <t>51.2 Rtn Mp</t>
  </si>
  <si>
    <t>28.5 Rtn Mp</t>
  </si>
  <si>
    <t>(kg)</t>
  </si>
  <si>
    <t>Rsv Mp</t>
  </si>
  <si>
    <t>Xfer Mp</t>
  </si>
  <si>
    <t>Rtn Mp</t>
  </si>
  <si>
    <t>Inclination:</t>
  </si>
  <si>
    <t>Season:</t>
  </si>
  <si>
    <t>Duration 
(days)</t>
  </si>
  <si>
    <t>28.5 out</t>
  </si>
  <si>
    <t>28.5 rtn</t>
  </si>
  <si>
    <t>51.2 out</t>
  </si>
  <si>
    <t>51.2 rtn</t>
  </si>
  <si>
    <t>Missions per year</t>
  </si>
  <si>
    <t>LV Capability</t>
  </si>
  <si>
    <t>LV Price</t>
  </si>
  <si>
    <t>Launch Cost</t>
  </si>
  <si>
    <t>Million</t>
  </si>
  <si>
    <t>MT</t>
  </si>
  <si>
    <t>Manifest Ratio</t>
  </si>
  <si>
    <t>clients/mission</t>
  </si>
  <si>
    <t>Mp+200kg margin</t>
  </si>
  <si>
    <t>Mp cost</t>
  </si>
  <si>
    <t>per MT</t>
  </si>
  <si>
    <t>Revenues</t>
  </si>
  <si>
    <t>Price per client</t>
  </si>
  <si>
    <t>M</t>
  </si>
  <si>
    <t>yearly</t>
  </si>
  <si>
    <t>per mission</t>
  </si>
  <si>
    <t>Operations</t>
  </si>
  <si>
    <t>sq-ft</t>
  </si>
  <si>
    <t>per sq-ft</t>
  </si>
  <si>
    <t>Net Sales</t>
  </si>
  <si>
    <t>cost of Sales</t>
  </si>
  <si>
    <t>services</t>
  </si>
  <si>
    <t>Propellant</t>
  </si>
  <si>
    <t>Plant</t>
  </si>
  <si>
    <t>Engineering</t>
  </si>
  <si>
    <t>ep</t>
  </si>
  <si>
    <t>Repair &amp; Replenishment</t>
  </si>
  <si>
    <t>repair ratio</t>
  </si>
  <si>
    <t>other income</t>
  </si>
  <si>
    <t>operating profit</t>
  </si>
  <si>
    <t>vehicles</t>
  </si>
  <si>
    <t xml:space="preserve">M/ep-year </t>
  </si>
  <si>
    <t>fully burdened</t>
  </si>
  <si>
    <t>EstimatedVehicle value</t>
  </si>
  <si>
    <t>Cost of Sales</t>
  </si>
  <si>
    <t>Aerospace - Texas/Florida</t>
  </si>
  <si>
    <t>Manufacturing costs: Facility, Machinery, Personnel, Materials</t>
  </si>
  <si>
    <t>Cost of Sales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</si>
</sst>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5" formatCode="0.000"/>
    <numFmt numFmtId="167" formatCode="0.0000000"/>
    <numFmt numFmtId="168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2" fontId="0" fillId="0" borderId="0" xfId="0" applyNumberFormat="1"/>
    <xf numFmtId="2" fontId="3" fillId="0" borderId="0" xfId="0" applyNumberFormat="1" applyFont="1"/>
    <xf numFmtId="1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applyFill="1"/>
    <xf numFmtId="2" fontId="3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Fill="1"/>
    <xf numFmtId="0" fontId="0" fillId="0" borderId="0" xfId="0" applyAlignment="1">
      <alignment horizontal="left"/>
    </xf>
    <xf numFmtId="2" fontId="0" fillId="0" borderId="0" xfId="0" applyNumberFormat="1" applyFill="1"/>
    <xf numFmtId="0" fontId="4" fillId="0" borderId="0" xfId="0" applyFont="1" applyFill="1"/>
    <xf numFmtId="0" fontId="4" fillId="0" borderId="0" xfId="0" applyFont="1"/>
    <xf numFmtId="2" fontId="0" fillId="0" borderId="0" xfId="0" applyNumberFormat="1" applyAlignment="1"/>
    <xf numFmtId="0" fontId="0" fillId="0" borderId="0" xfId="0" applyAlignment="1">
      <alignment horizontal="center" vertical="top"/>
    </xf>
    <xf numFmtId="0" fontId="0" fillId="0" borderId="0" xfId="0" applyFill="1" applyAlignment="1">
      <alignment vertical="top" wrapText="1"/>
    </xf>
    <xf numFmtId="1" fontId="0" fillId="0" borderId="0" xfId="0" applyNumberFormat="1" applyAlignment="1"/>
    <xf numFmtId="0" fontId="3" fillId="0" borderId="0" xfId="0" applyFont="1" applyFill="1" applyAlignment="1">
      <alignment horizontal="center" vertical="top" wrapText="1"/>
    </xf>
    <xf numFmtId="1" fontId="0" fillId="0" borderId="0" xfId="0" applyNumberFormat="1" applyFill="1"/>
    <xf numFmtId="0" fontId="0" fillId="0" borderId="0" xfId="0" applyFill="1" applyAlignment="1">
      <alignment horizontal="left"/>
    </xf>
    <xf numFmtId="0" fontId="0" fillId="3" borderId="0" xfId="0" applyFill="1"/>
    <xf numFmtId="2" fontId="0" fillId="3" borderId="0" xfId="0" applyNumberFormat="1" applyFill="1"/>
    <xf numFmtId="0" fontId="5" fillId="0" borderId="0" xfId="0" applyFont="1" applyFill="1" applyAlignment="1">
      <alignment horizontal="center" vertical="top" wrapText="1"/>
    </xf>
    <xf numFmtId="2" fontId="5" fillId="0" borderId="0" xfId="0" applyNumberFormat="1" applyFont="1" applyFill="1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2" fontId="0" fillId="0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1" fontId="0" fillId="0" borderId="0" xfId="0" applyNumberFormat="1"/>
    <xf numFmtId="165" fontId="0" fillId="0" borderId="0" xfId="0" applyNumberFormat="1"/>
    <xf numFmtId="2" fontId="0" fillId="0" borderId="0" xfId="0" applyNumberFormat="1" applyAlignment="1">
      <alignment horizontal="center" vertical="top"/>
    </xf>
    <xf numFmtId="15" fontId="0" fillId="0" borderId="0" xfId="0" applyNumberFormat="1" applyFill="1" applyAlignment="1">
      <alignment horizontal="center" vertical="top" wrapText="1"/>
    </xf>
    <xf numFmtId="2" fontId="0" fillId="0" borderId="0" xfId="0" applyNumberFormat="1" applyFill="1" applyAlignment="1">
      <alignment horizontal="center" vertical="top"/>
    </xf>
    <xf numFmtId="2" fontId="3" fillId="0" borderId="0" xfId="0" applyNumberFormat="1" applyFont="1" applyFill="1" applyAlignment="1">
      <alignment horizontal="center" vertical="top"/>
    </xf>
    <xf numFmtId="2" fontId="0" fillId="0" borderId="0" xfId="0" applyNumberForma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16" fontId="0" fillId="0" borderId="0" xfId="0" applyNumberFormat="1" applyAlignment="1">
      <alignment horizontal="center" vertical="top"/>
    </xf>
    <xf numFmtId="2" fontId="3" fillId="4" borderId="0" xfId="0" applyNumberFormat="1" applyFont="1" applyFill="1"/>
    <xf numFmtId="2" fontId="3" fillId="2" borderId="0" xfId="0" applyNumberFormat="1" applyFont="1" applyFill="1"/>
    <xf numFmtId="0" fontId="5" fillId="0" borderId="0" xfId="0" applyFont="1" applyAlignment="1">
      <alignment horizontal="center" vertical="top" wrapText="1"/>
    </xf>
    <xf numFmtId="1" fontId="0" fillId="0" borderId="0" xfId="0" applyNumberFormat="1" applyAlignment="1">
      <alignment horizontal="center" vertical="top"/>
    </xf>
    <xf numFmtId="165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165" fontId="3" fillId="0" borderId="0" xfId="0" applyNumberFormat="1" applyFont="1" applyFill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0" fillId="0" borderId="0" xfId="0" applyNumberFormat="1" applyFill="1"/>
    <xf numFmtId="165" fontId="0" fillId="0" borderId="0" xfId="0" applyNumberFormat="1" applyBorder="1"/>
    <xf numFmtId="0" fontId="0" fillId="0" borderId="0" xfId="0" applyFont="1"/>
    <xf numFmtId="2" fontId="0" fillId="4" borderId="0" xfId="0" applyNumberFormat="1" applyFill="1"/>
    <xf numFmtId="0" fontId="0" fillId="4" borderId="0" xfId="0" applyFill="1"/>
    <xf numFmtId="1" fontId="0" fillId="4" borderId="0" xfId="0" applyNumberFormat="1" applyFill="1"/>
    <xf numFmtId="2" fontId="0" fillId="5" borderId="0" xfId="0" applyNumberFormat="1" applyFill="1"/>
    <xf numFmtId="0" fontId="0" fillId="5" borderId="0" xfId="0" applyFill="1"/>
    <xf numFmtId="2" fontId="0" fillId="0" borderId="0" xfId="0" applyNumberFormat="1" applyAlignment="1">
      <alignment horizontal="right"/>
    </xf>
    <xf numFmtId="1" fontId="3" fillId="6" borderId="0" xfId="0" applyNumberFormat="1" applyFont="1" applyFill="1"/>
    <xf numFmtId="168" fontId="0" fillId="0" borderId="0" xfId="0" applyNumberFormat="1"/>
    <xf numFmtId="1" fontId="0" fillId="0" borderId="0" xfId="0" applyNumberFormat="1" applyAlignment="1">
      <alignment horizontal="center"/>
    </xf>
    <xf numFmtId="15" fontId="0" fillId="0" borderId="0" xfId="0" applyNumberFormat="1" applyFill="1" applyAlignment="1">
      <alignment horizontal="center" wrapText="1"/>
    </xf>
    <xf numFmtId="15" fontId="0" fillId="0" borderId="0" xfId="0" applyNumberFormat="1" applyFill="1" applyAlignment="1">
      <alignment horizontal="left" wrapText="1"/>
    </xf>
    <xf numFmtId="15" fontId="4" fillId="0" borderId="0" xfId="0" applyNumberFormat="1" applyFont="1" applyFill="1" applyAlignment="1">
      <alignment horizontal="center" vertical="top" wrapText="1"/>
    </xf>
    <xf numFmtId="15" fontId="4" fillId="0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15" fontId="4" fillId="0" borderId="0" xfId="0" applyNumberFormat="1" applyFont="1" applyFill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2" fontId="0" fillId="0" borderId="0" xfId="0" applyNumberFormat="1" applyAlignment="1">
      <alignment horizontal="center"/>
    </xf>
    <xf numFmtId="6" fontId="0" fillId="0" borderId="0" xfId="0" applyNumberFormat="1"/>
    <xf numFmtId="8" fontId="0" fillId="0" borderId="0" xfId="0" applyNumberFormat="1"/>
    <xf numFmtId="4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Fuel Consumption, 32x8061,</a:t>
            </a:r>
            <a:r>
              <a:rPr lang="en-US" baseline="0"/>
              <a:t> </a:t>
            </a:r>
            <a:r>
              <a:rPr lang="en-US"/>
              <a:t>8-ton</a:t>
            </a:r>
            <a:r>
              <a:rPr lang="en-US" baseline="0"/>
              <a:t> Payload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'32x8061-8T Figs'!$B$4</c:f>
              <c:strCache>
                <c:ptCount val="1"/>
                <c:pt idx="0">
                  <c:v>Mp (28.5)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'32x8061-8T Figs'!$A$5:$A$8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'32x8061-8T Figs'!$B$5:$B$8</c:f>
              <c:numCache>
                <c:formatCode>0</c:formatCode>
                <c:ptCount val="4"/>
                <c:pt idx="0">
                  <c:v>8621.8440920071771</c:v>
                </c:pt>
                <c:pt idx="1">
                  <c:v>8624.8417083465447</c:v>
                </c:pt>
                <c:pt idx="2">
                  <c:v>8610.2494431644336</c:v>
                </c:pt>
                <c:pt idx="3">
                  <c:v>8624.1529055855135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9-4137-B254-BD8EAACAE66C}"/>
            </c:ext>
          </c:extLst>
        </c:ser>
        <c:ser>
          <c:idx val="1"/>
          <c:order val="1"/>
          <c:tx>
            <c:strRef>
              <c:f>'32x8061-8T Figs'!$C$4</c:f>
              <c:strCache>
                <c:ptCount val="1"/>
                <c:pt idx="0">
                  <c:v>Mp(51.2)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'32x8061-8T Figs'!$A$5:$A$8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'32x8061-8T Figs'!$C$5:$C$8</c:f>
              <c:numCache>
                <c:formatCode>0</c:formatCode>
                <c:ptCount val="4"/>
                <c:pt idx="0">
                  <c:v>12403.170556588608</c:v>
                </c:pt>
                <c:pt idx="1">
                  <c:v>12438.468455610691</c:v>
                </c:pt>
                <c:pt idx="2">
                  <c:v>12391.535931182683</c:v>
                </c:pt>
                <c:pt idx="3">
                  <c:v>12416.318192797142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9-4137-B254-BD8EAACAE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2171544"/>
        <c:axId val="832172528"/>
      </c:barChart>
      <c:catAx>
        <c:axId val="83217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172528"/>
        <c:crosses val="autoZero"/>
        <c:auto val="1"/>
        <c:lblAlgn val="ctr"/>
        <c:lblOffset val="100"/>
        <c:noMultiLvlLbl val="0"/>
      </c:catAx>
      <c:valAx>
        <c:axId val="83217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Kilograms</a:t>
                </a:r>
                <a:r>
                  <a:rPr lang="en-US" baseline="0"/>
                  <a:t> fuel used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17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Flight Duration 64x6295,</a:t>
            </a:r>
            <a:r>
              <a:rPr lang="en-US" baseline="0"/>
              <a:t> 24</a:t>
            </a:r>
            <a:r>
              <a:rPr lang="en-US"/>
              <a:t>-ton</a:t>
            </a:r>
            <a:r>
              <a:rPr lang="en-US" baseline="0"/>
              <a:t> Payload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'64x6295-24T Figs'!$B$20</c:f>
              <c:strCache>
                <c:ptCount val="1"/>
                <c:pt idx="0">
                  <c:v>28.5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'64x6295-24T Figs'!$A$23:$A$26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'64x6295-24T Figs'!$B$23:$B$26</c:f>
              <c:numCache>
                <c:formatCode>0.00</c:formatCode>
                <c:ptCount val="4"/>
                <c:pt idx="0">
                  <c:v>172.589656777578</c:v>
                </c:pt>
                <c:pt idx="1">
                  <c:v>173.43162667511899</c:v>
                </c:pt>
                <c:pt idx="2">
                  <c:v>173.699564536938</c:v>
                </c:pt>
                <c:pt idx="3">
                  <c:v>172.59733293070099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2-4B73-B124-977B4C2B7791}"/>
            </c:ext>
          </c:extLst>
        </c:ser>
        <c:ser>
          <c:idx val="1"/>
          <c:order val="1"/>
          <c:tx>
            <c:strRef>
              <c:f>'64x6295-24T Figs'!$D$20</c:f>
              <c:strCache>
                <c:ptCount val="1"/>
                <c:pt idx="0">
                  <c:v>51.2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'64x6295-24T Figs'!$A$23:$A$26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'64x6295-24T Figs'!$D$23:$D$26</c:f>
              <c:numCache>
                <c:formatCode>0.00</c:formatCode>
                <c:ptCount val="4"/>
                <c:pt idx="0">
                  <c:v>253.22282913092499</c:v>
                </c:pt>
                <c:pt idx="1">
                  <c:v>250.96730007319999</c:v>
                </c:pt>
                <c:pt idx="2">
                  <c:v>252.84026141458801</c:v>
                </c:pt>
                <c:pt idx="3">
                  <c:v>251.56276052639001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2-4B73-B124-977B4C2B7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180392"/>
        <c:axId val="846173176"/>
      </c:barChart>
      <c:catAx>
        <c:axId val="84618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73176"/>
        <c:crosses val="autoZero"/>
        <c:auto val="1"/>
        <c:lblAlgn val="ctr"/>
        <c:lblOffset val="100"/>
        <c:noMultiLvlLbl val="0"/>
      </c:catAx>
      <c:valAx>
        <c:axId val="84617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Duration</a:t>
                </a:r>
                <a:r>
                  <a:rPr lang="en-US" baseline="0"/>
                  <a:t> (Days)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8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64x8061</a:t>
            </a:r>
            <a:r>
              <a:rPr lang="en-US"/>
              <a:t>Fuel</a:t>
            </a:r>
            <a:r>
              <a:rPr lang="en-US" baseline="0"/>
              <a:t> Reserve from </a:t>
            </a:r>
            <a:r>
              <a:rPr lang="en-US"/>
              <a:t>51.2-deg Inclination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7E-42FB-9EE9-ECA9DCF6B8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7E-42FB-9EE9-ECA9DCF6B8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'64x6295-24T Figs'!$B$11:$C$11</c:f>
              <c:strCache>
                <c:ptCount val="2"/>
                <c:pt idx="0">
                  <c:v>Xfer Mp</c:v>
                </c:pt>
                <c:pt idx="1">
                  <c:v>Rsv Mp</c:v>
                </c:pt>
              </c:strCache>
            </c:strRef>
          </c:cat>
          <c:val>
            <c:numRef>
              <c:f>'64x6295-24T Figs'!$B$12:$C$12</c:f>
              <c:numCache>
                <c:formatCode>0</c:formatCode>
                <c:ptCount val="2"/>
                <c:pt idx="0">
                  <c:v>21504.1192366002</c:v>
                </c:pt>
                <c:pt idx="1">
                  <c:v>7416.0907633998004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7E-42FB-9EE9-ECA9DCF6B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64x8061 </a:t>
            </a:r>
            <a:r>
              <a:rPr lang="en-US"/>
              <a:t>Fuel Reserve from 28.5-deg</a:t>
            </a:r>
            <a:r>
              <a:rPr lang="en-US" baseline="0"/>
              <a:t> Inclination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E9-4D44-8EEA-906C1CCF91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E9-4D44-8EEA-906C1CCF9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'64x6295-24T Figs'!$E$11:$F$11</c:f>
              <c:strCache>
                <c:ptCount val="2"/>
                <c:pt idx="0">
                  <c:v>Xfer Mp</c:v>
                </c:pt>
                <c:pt idx="1">
                  <c:v>Rsv Mp</c:v>
                </c:pt>
              </c:strCache>
            </c:strRef>
          </c:cat>
          <c:val>
            <c:numRef>
              <c:f>'64x6295-24T Figs'!$E$12:$F$12</c:f>
              <c:numCache>
                <c:formatCode>0</c:formatCode>
                <c:ptCount val="2"/>
                <c:pt idx="0">
                  <c:v>14320.0971345528</c:v>
                </c:pt>
                <c:pt idx="1">
                  <c:v>5559.2228654472001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E9-4D44-8EEA-906C1CCF9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Fuel Consumption</a:t>
            </a:r>
            <a:r>
              <a:rPr lang="en-US" baseline="0"/>
              <a:t> </a:t>
            </a:r>
            <a:r>
              <a:rPr lang="en-US"/>
              <a:t>64x8061,</a:t>
            </a:r>
            <a:r>
              <a:rPr lang="en-US" baseline="0"/>
              <a:t> 24</a:t>
            </a:r>
            <a:r>
              <a:rPr lang="en-US"/>
              <a:t>-ton Payload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'64x8061-24T Figs'!$B$4</c:f>
              <c:strCache>
                <c:ptCount val="1"/>
                <c:pt idx="0">
                  <c:v>Mp (28.5)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'64x8061-24T Figs'!$A$5:$A$8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'64x8061-24T Figs'!$B$5:$B$8</c:f>
              <c:numCache>
                <c:formatCode>0.00</c:formatCode>
                <c:ptCount val="4"/>
                <c:pt idx="0">
                  <c:v>15951.92824399639</c:v>
                </c:pt>
                <c:pt idx="1">
                  <c:v>15919.984356884139</c:v>
                </c:pt>
                <c:pt idx="2">
                  <c:v>15942.912556006268</c:v>
                </c:pt>
                <c:pt idx="3">
                  <c:v>15911.191647604259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3-4C89-A8C8-C07741488E96}"/>
            </c:ext>
          </c:extLst>
        </c:ser>
        <c:ser>
          <c:idx val="1"/>
          <c:order val="1"/>
          <c:tx>
            <c:strRef>
              <c:f>'64x8061-24T Figs'!$C$4</c:f>
              <c:strCache>
                <c:ptCount val="1"/>
                <c:pt idx="0">
                  <c:v>Mp(51.2)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'64x8061-24T Figs'!$A$5:$A$8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'64x8061-24T Figs'!$C$5:$C$8</c:f>
              <c:numCache>
                <c:formatCode>0.00</c:formatCode>
                <c:ptCount val="4"/>
                <c:pt idx="0">
                  <c:v>23929.104949733133</c:v>
                </c:pt>
                <c:pt idx="1">
                  <c:v>24009.863974416738</c:v>
                </c:pt>
                <c:pt idx="2">
                  <c:v>23918.091402332328</c:v>
                </c:pt>
                <c:pt idx="3">
                  <c:v>24026.324976663411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3-4C89-A8C8-C07741488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154480"/>
        <c:axId val="846161368"/>
      </c:barChart>
      <c:catAx>
        <c:axId val="84615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61368"/>
        <c:crosses val="autoZero"/>
        <c:auto val="1"/>
        <c:lblAlgn val="ctr"/>
        <c:lblOffset val="100"/>
        <c:noMultiLvlLbl val="0"/>
      </c:catAx>
      <c:valAx>
        <c:axId val="84616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Kilograms</a:t>
                </a:r>
                <a:r>
                  <a:rPr lang="en-US" baseline="0"/>
                  <a:t> fuel used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5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Flight Duration 64x8061,</a:t>
            </a:r>
            <a:r>
              <a:rPr lang="en-US" baseline="0"/>
              <a:t> 24</a:t>
            </a:r>
            <a:r>
              <a:rPr lang="en-US"/>
              <a:t>-ton</a:t>
            </a:r>
            <a:r>
              <a:rPr lang="en-US" baseline="0"/>
              <a:t> Payload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'64x8061-24T Figs'!$B$20</c:f>
              <c:strCache>
                <c:ptCount val="1"/>
                <c:pt idx="0">
                  <c:v>tf (28.5)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'64x8061-24T Figs'!$A$21:$A$24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'64x8061-24T Figs'!$B$21:$B$24</c:f>
              <c:numCache>
                <c:formatCode>0.00</c:formatCode>
                <c:ptCount val="4"/>
                <c:pt idx="0">
                  <c:v>152.78426821628801</c:v>
                </c:pt>
                <c:pt idx="1">
                  <c:v>156.973615701499</c:v>
                </c:pt>
                <c:pt idx="2">
                  <c:v>153.37811725597899</c:v>
                </c:pt>
                <c:pt idx="3">
                  <c:v>156.42410191796799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5-4A81-BE9E-192E05F247EC}"/>
            </c:ext>
          </c:extLst>
        </c:ser>
        <c:ser>
          <c:idx val="1"/>
          <c:order val="1"/>
          <c:tx>
            <c:strRef>
              <c:f>'64x8061-24T Figs'!$C$20</c:f>
              <c:strCache>
                <c:ptCount val="1"/>
                <c:pt idx="0">
                  <c:v>tf (51.2)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'64x8061-24T Figs'!$A$21:$A$24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'64x8061-24T Figs'!$C$21:$C$24</c:f>
              <c:numCache>
                <c:formatCode>0.00</c:formatCode>
                <c:ptCount val="4"/>
                <c:pt idx="0">
                  <c:v>230.94506101640201</c:v>
                </c:pt>
                <c:pt idx="1">
                  <c:v>226.55781010787501</c:v>
                </c:pt>
                <c:pt idx="2">
                  <c:v>230.57412534481401</c:v>
                </c:pt>
                <c:pt idx="3">
                  <c:v>226.53065244566099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55-4A81-BE9E-192E05F2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180392"/>
        <c:axId val="846173176"/>
      </c:barChart>
      <c:catAx>
        <c:axId val="84618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73176"/>
        <c:crosses val="autoZero"/>
        <c:auto val="1"/>
        <c:lblAlgn val="ctr"/>
        <c:lblOffset val="100"/>
        <c:noMultiLvlLbl val="0"/>
      </c:catAx>
      <c:valAx>
        <c:axId val="84617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Duration</a:t>
                </a:r>
                <a:r>
                  <a:rPr lang="en-US" baseline="0"/>
                  <a:t> (Days)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8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64x8061</a:t>
            </a:r>
            <a:r>
              <a:rPr lang="en-US"/>
              <a:t>Fuel</a:t>
            </a:r>
            <a:r>
              <a:rPr lang="en-US" baseline="0"/>
              <a:t> Reserve from </a:t>
            </a:r>
            <a:r>
              <a:rPr lang="en-US"/>
              <a:t>51.2-deg Inclination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52-464C-A6AF-FE8042EA27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52-464C-A6AF-FE8042EA27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'64x8061-24T Figs'!$B$11:$C$11</c:f>
              <c:strCache>
                <c:ptCount val="2"/>
                <c:pt idx="0">
                  <c:v>51.2 Xfer Mp</c:v>
                </c:pt>
                <c:pt idx="1">
                  <c:v>51.2 Rsv Mp</c:v>
                </c:pt>
              </c:strCache>
            </c:strRef>
          </c:cat>
          <c:val>
            <c:numRef>
              <c:f>'64x8061-24T Figs'!$B$12:$C$12</c:f>
              <c:numCache>
                <c:formatCode>0.00</c:formatCode>
                <c:ptCount val="2"/>
                <c:pt idx="0">
                  <c:v>29284.655378065789</c:v>
                </c:pt>
                <c:pt idx="1">
                  <c:v>9413.8746219342102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52-464C-A6AF-FE8042EA2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64x8061 </a:t>
            </a:r>
            <a:r>
              <a:rPr lang="en-US"/>
              <a:t>Fuel Reserve from 28.5-deg</a:t>
            </a:r>
            <a:r>
              <a:rPr lang="en-US" baseline="0"/>
              <a:t> Inclination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7A-4542-BA06-545566F428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7A-4542-BA06-545566F428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'64x8061-24T Figs'!$D$11:$E$11</c:f>
              <c:strCache>
                <c:ptCount val="2"/>
                <c:pt idx="0">
                  <c:v>28.5 Xfer Mp</c:v>
                </c:pt>
                <c:pt idx="1">
                  <c:v>28.5 Rsv Mp</c:v>
                </c:pt>
              </c:strCache>
            </c:strRef>
          </c:cat>
          <c:val>
            <c:numRef>
              <c:f>'64x8061-24T Figs'!$D$12:$E$12</c:f>
              <c:numCache>
                <c:formatCode>0.00</c:formatCode>
                <c:ptCount val="2"/>
                <c:pt idx="0">
                  <c:v>19523.601522724002</c:v>
                </c:pt>
                <c:pt idx="1">
                  <c:v>7137.1184772759998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7A-4542-BA06-545566F42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Fuel Consumption</a:t>
            </a:r>
            <a:r>
              <a:rPr lang="en-US" baseline="0"/>
              <a:t> </a:t>
            </a:r>
            <a:r>
              <a:rPr lang="en-US"/>
              <a:t>64x8061,</a:t>
            </a:r>
            <a:r>
              <a:rPr lang="en-US" baseline="0"/>
              <a:t> </a:t>
            </a:r>
            <a:r>
              <a:rPr lang="en-US"/>
              <a:t>36-ton Payload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'64x8061-36T Figs'!$B$4</c:f>
              <c:strCache>
                <c:ptCount val="1"/>
                <c:pt idx="0">
                  <c:v>Mp (28.5)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'64x8061-36T Figs'!$A$5:$A$8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'64x8061-36T Figs'!$B$5:$B$8</c:f>
              <c:numCache>
                <c:formatCode>0.00</c:formatCode>
                <c:ptCount val="4"/>
                <c:pt idx="0">
                  <c:v>19523.601522724002</c:v>
                </c:pt>
                <c:pt idx="1">
                  <c:v>19568.608170333831</c:v>
                </c:pt>
                <c:pt idx="2">
                  <c:v>19536.30239245094</c:v>
                </c:pt>
                <c:pt idx="3">
                  <c:v>19548.75802870639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6-4E7F-9BFC-399535398734}"/>
            </c:ext>
          </c:extLst>
        </c:ser>
        <c:ser>
          <c:idx val="1"/>
          <c:order val="1"/>
          <c:tx>
            <c:strRef>
              <c:f>'64x8061-36T Figs'!$C$4</c:f>
              <c:strCache>
                <c:ptCount val="1"/>
                <c:pt idx="0">
                  <c:v>Mp(51.2)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'64x8061-36T Figs'!$A$5:$A$8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'64x8061-36T Figs'!$C$5:$C$8</c:f>
              <c:numCache>
                <c:formatCode>0.00</c:formatCode>
                <c:ptCount val="4"/>
                <c:pt idx="0">
                  <c:v>29284.655378065789</c:v>
                </c:pt>
                <c:pt idx="1">
                  <c:v>29189.06039779196</c:v>
                </c:pt>
                <c:pt idx="2">
                  <c:v>29273.976697845268</c:v>
                </c:pt>
                <c:pt idx="3">
                  <c:v>29188.601650466138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6-4E7F-9BFC-399535398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154480"/>
        <c:axId val="846161368"/>
      </c:barChart>
      <c:catAx>
        <c:axId val="84615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61368"/>
        <c:crosses val="autoZero"/>
        <c:auto val="1"/>
        <c:lblAlgn val="ctr"/>
        <c:lblOffset val="100"/>
        <c:noMultiLvlLbl val="0"/>
      </c:catAx>
      <c:valAx>
        <c:axId val="84616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Kilograms</a:t>
                </a:r>
                <a:r>
                  <a:rPr lang="en-US" baseline="0"/>
                  <a:t> fuel used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5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Flight Duration 64x8061,</a:t>
            </a:r>
            <a:r>
              <a:rPr lang="en-US" baseline="0"/>
              <a:t> </a:t>
            </a:r>
            <a:r>
              <a:rPr lang="en-US"/>
              <a:t>36-ton</a:t>
            </a:r>
            <a:r>
              <a:rPr lang="en-US" baseline="0"/>
              <a:t> Payload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'64x8061-36T Figs'!$B$20</c:f>
              <c:strCache>
                <c:ptCount val="1"/>
                <c:pt idx="0">
                  <c:v>28.5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'64x8061-36T Figs'!$A$21:$A$25</c:f>
              <c:strCache>
                <c:ptCount val="5"/>
                <c:pt idx="1">
                  <c:v>Season:</c:v>
                </c:pt>
                <c:pt idx="2">
                  <c:v>Spring</c:v>
                </c:pt>
                <c:pt idx="3">
                  <c:v>Summer</c:v>
                </c:pt>
                <c:pt idx="4">
                  <c:v>Autumn</c:v>
                </c:pt>
              </c:strCache>
            </c:strRef>
          </c:cat>
          <c:val>
            <c:numRef>
              <c:f>'64x8061-36T Figs'!$B$21:$B$25</c:f>
              <c:numCache>
                <c:formatCode>General</c:formatCode>
                <c:ptCount val="5"/>
                <c:pt idx="0">
                  <c:v>0</c:v>
                </c:pt>
                <c:pt idx="2" formatCode="0.00">
                  <c:v>198.93296685696899</c:v>
                </c:pt>
                <c:pt idx="3" formatCode="0.00">
                  <c:v>196.47192911840401</c:v>
                </c:pt>
                <c:pt idx="4" formatCode="0.00">
                  <c:v>199.45568765515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C-4609-AE2D-FFEAE0D9FB34}"/>
            </c:ext>
          </c:extLst>
        </c:ser>
        <c:ser>
          <c:idx val="1"/>
          <c:order val="1"/>
          <c:tx>
            <c:strRef>
              <c:f>'64x8061-36T Figs'!$C$20</c:f>
              <c:strCache>
                <c:ptCount val="1"/>
                <c:pt idx="0">
                  <c:v>Return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'64x8061-36T Figs'!$A$21:$A$25</c:f>
              <c:strCache>
                <c:ptCount val="5"/>
                <c:pt idx="1">
                  <c:v>Season:</c:v>
                </c:pt>
                <c:pt idx="2">
                  <c:v>Spring</c:v>
                </c:pt>
                <c:pt idx="3">
                  <c:v>Summer</c:v>
                </c:pt>
                <c:pt idx="4">
                  <c:v>Autumn</c:v>
                </c:pt>
              </c:strCache>
            </c:strRef>
          </c:cat>
          <c:val>
            <c:numRef>
              <c:f>'64x8061-36T Figs'!$C$21:$C$25</c:f>
              <c:numCache>
                <c:formatCode>General</c:formatCode>
                <c:ptCount val="5"/>
                <c:pt idx="0">
                  <c:v>0</c:v>
                </c:pt>
                <c:pt idx="2" formatCode="0.00">
                  <c:v>73.989263462492005</c:v>
                </c:pt>
                <c:pt idx="3" formatCode="0.00">
                  <c:v>69.478491863806894</c:v>
                </c:pt>
                <c:pt idx="4" formatCode="0.00">
                  <c:v>73.922654913523701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0C-4609-AE2D-FFEAE0D9F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180392"/>
        <c:axId val="846173176"/>
      </c:barChart>
      <c:catAx>
        <c:axId val="84618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73176"/>
        <c:crosses val="autoZero"/>
        <c:auto val="1"/>
        <c:lblAlgn val="ctr"/>
        <c:lblOffset val="100"/>
        <c:noMultiLvlLbl val="0"/>
      </c:catAx>
      <c:valAx>
        <c:axId val="84617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Duration</a:t>
                </a:r>
                <a:r>
                  <a:rPr lang="en-US" baseline="0"/>
                  <a:t> (Days)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8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64x8061</a:t>
            </a:r>
            <a:r>
              <a:rPr lang="en-US"/>
              <a:t>Fuel</a:t>
            </a:r>
            <a:r>
              <a:rPr lang="en-US" baseline="0"/>
              <a:t> Reserve from </a:t>
            </a:r>
            <a:r>
              <a:rPr lang="en-US"/>
              <a:t>51.2-deg Inclination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3B-41F0-8C5E-4D53E1E69A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3B-41F0-8C5E-4D53E1E69A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'64x8061-36T Figs'!$B$11:$C$11</c:f>
              <c:strCache>
                <c:ptCount val="2"/>
                <c:pt idx="0">
                  <c:v>Xfer Mp</c:v>
                </c:pt>
                <c:pt idx="1">
                  <c:v>Rsv Mp</c:v>
                </c:pt>
              </c:strCache>
            </c:strRef>
          </c:cat>
          <c:val>
            <c:numRef>
              <c:f>'64x8061-36T Figs'!$B$12:$C$12</c:f>
              <c:numCache>
                <c:formatCode>0</c:formatCode>
                <c:ptCount val="2"/>
                <c:pt idx="0">
                  <c:v>29284.655378065789</c:v>
                </c:pt>
                <c:pt idx="1">
                  <c:v>9413.8746219342102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3B-41F0-8C5E-4D53E1E69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Flight Duration, 32x8061,</a:t>
            </a:r>
            <a:r>
              <a:rPr lang="en-US" baseline="0"/>
              <a:t> </a:t>
            </a:r>
            <a:r>
              <a:rPr lang="en-US"/>
              <a:t>8-ton</a:t>
            </a:r>
            <a:r>
              <a:rPr lang="en-US" baseline="0"/>
              <a:t> Payload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'32x8061-8T Figs'!$B$22</c:f>
              <c:strCache>
                <c:ptCount val="1"/>
                <c:pt idx="0">
                  <c:v>28.5 out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'32x8061-8T Figs'!$A$23:$A$26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'32x8061-8T Figs'!$B$23:$B$26</c:f>
              <c:numCache>
                <c:formatCode>0.00</c:formatCode>
                <c:ptCount val="4"/>
                <c:pt idx="0">
                  <c:v>114.67077186354</c:v>
                </c:pt>
                <c:pt idx="1">
                  <c:v>137.796577589641</c:v>
                </c:pt>
                <c:pt idx="2">
                  <c:v>136.02770082332401</c:v>
                </c:pt>
                <c:pt idx="3">
                  <c:v>137.606881493684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7-4D2F-BE51-E7D758CDCE1F}"/>
            </c:ext>
          </c:extLst>
        </c:ser>
        <c:ser>
          <c:idx val="1"/>
          <c:order val="1"/>
          <c:tx>
            <c:strRef>
              <c:f>'32x8061-8T Figs'!$C$22</c:f>
              <c:strCache>
                <c:ptCount val="1"/>
                <c:pt idx="0">
                  <c:v>28.5 rtn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'32x8061-8T Figs'!$A$23:$A$26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'32x8061-8T Figs'!$C$23:$C$26</c:f>
              <c:numCache>
                <c:formatCode>0.00</c:formatCode>
                <c:ptCount val="4"/>
                <c:pt idx="0">
                  <c:v>58.013148138306804</c:v>
                </c:pt>
                <c:pt idx="1">
                  <c:v>54.787956253880097</c:v>
                </c:pt>
                <c:pt idx="2">
                  <c:v>57.986810795282501</c:v>
                </c:pt>
                <c:pt idx="3">
                  <c:v>54.687870921217801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7-4D2F-BE51-E7D758CDCE1F}"/>
            </c:ext>
          </c:extLst>
        </c:ser>
        <c:ser>
          <c:idx val="2"/>
          <c:order val="2"/>
          <c:tx>
            <c:strRef>
              <c:f>'32x8061-8T Figs'!$D$22</c:f>
              <c:strCache>
                <c:ptCount val="1"/>
                <c:pt idx="0">
                  <c:v>51.2 out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'32x8061-8T Figs'!$A$23:$A$26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'32x8061-8T Figs'!$D$23:$D$26</c:f>
              <c:numCache>
                <c:formatCode>0.00</c:formatCode>
                <c:ptCount val="4"/>
                <c:pt idx="0">
                  <c:v>168.32116153631</c:v>
                </c:pt>
                <c:pt idx="1">
                  <c:v>167.89605929637699</c:v>
                </c:pt>
                <c:pt idx="2">
                  <c:v>168.25212590640101</c:v>
                </c:pt>
                <c:pt idx="3">
                  <c:v>167.83458072994799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2-4C3B-9E6E-1CBA74402FB2}"/>
            </c:ext>
          </c:extLst>
        </c:ser>
        <c:ser>
          <c:idx val="3"/>
          <c:order val="3"/>
          <c:tx>
            <c:strRef>
              <c:f>'32x8061-8T Figs'!$E$22</c:f>
              <c:strCache>
                <c:ptCount val="1"/>
                <c:pt idx="0">
                  <c:v>51.2 rtn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'32x8061-8T Figs'!$A$23:$A$26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'32x8061-8T Figs'!$E$23:$E$26</c:f>
              <c:numCache>
                <c:formatCode>0.00</c:formatCode>
                <c:ptCount val="4"/>
                <c:pt idx="0">
                  <c:v>72.109166937258095</c:v>
                </c:pt>
                <c:pt idx="1">
                  <c:v>71.274233200427204</c:v>
                </c:pt>
                <c:pt idx="2">
                  <c:v>71.307111317313598</c:v>
                </c:pt>
                <c:pt idx="3">
                  <c:v>70.771552530561095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2-4C3B-9E6E-1CBA74402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8122536"/>
        <c:axId val="798122864"/>
      </c:barChart>
      <c:catAx>
        <c:axId val="79812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122864"/>
        <c:crosses val="autoZero"/>
        <c:auto val="1"/>
        <c:lblAlgn val="ctr"/>
        <c:lblOffset val="100"/>
        <c:noMultiLvlLbl val="0"/>
      </c:catAx>
      <c:valAx>
        <c:axId val="79812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Duration</a:t>
                </a:r>
                <a:r>
                  <a:rPr lang="en-US" baseline="0"/>
                  <a:t> (Days)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122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64x8061 </a:t>
            </a:r>
            <a:r>
              <a:rPr lang="en-US"/>
              <a:t>Fuel Reserve from 28.5-deg</a:t>
            </a:r>
            <a:r>
              <a:rPr lang="en-US" baseline="0"/>
              <a:t> Inclination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6C-4FD7-B88E-D4A853A1F1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6C-4FD7-B88E-D4A853A1F1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'64x8061-36T Figs'!$E$11:$F$11</c:f>
              <c:strCache>
                <c:ptCount val="2"/>
                <c:pt idx="0">
                  <c:v>Xfer Mp</c:v>
                </c:pt>
                <c:pt idx="1">
                  <c:v>Rsv Mp</c:v>
                </c:pt>
              </c:strCache>
            </c:strRef>
          </c:cat>
          <c:val>
            <c:numRef>
              <c:f>'64x8061-36T Figs'!$E$12:$F$12</c:f>
              <c:numCache>
                <c:formatCode>0</c:formatCode>
                <c:ptCount val="2"/>
                <c:pt idx="0">
                  <c:v>19523.601522724002</c:v>
                </c:pt>
                <c:pt idx="1">
                  <c:v>7137.1184772759998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C-4FD7-B88E-D4A853A1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8-tons, 51.2</a:t>
            </a:r>
            <a:r>
              <a:rPr lang="en-US" baseline="0"/>
              <a:t> Degree Inclination Change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Figs'!$B$5</c:f>
              <c:strCache>
                <c:ptCount val="1"/>
                <c:pt idx="0">
                  <c:v>20 Mar (8T)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Figs'!$C$4:$E$4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Figs'!$C$5:$E$5</c:f>
              <c:numCache>
                <c:formatCode>0.00</c:formatCode>
                <c:ptCount val="3"/>
                <c:pt idx="0">
                  <c:v>232.64769773907</c:v>
                </c:pt>
                <c:pt idx="1">
                  <c:v>159.65478874878599</c:v>
                </c:pt>
                <c:pt idx="2">
                  <c:v>197.27809951342701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6-4672-8728-05CFCDE42AF6}"/>
            </c:ext>
          </c:extLst>
        </c:ser>
        <c:ser>
          <c:idx val="1"/>
          <c:order val="1"/>
          <c:tx>
            <c:strRef>
              <c:f>'Summary Figs'!$B$6</c:f>
              <c:strCache>
                <c:ptCount val="1"/>
                <c:pt idx="0">
                  <c:v>20 Jun (8T)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Figs'!$C$4:$E$4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Figs'!$C$6:$E$6</c:f>
              <c:numCache>
                <c:formatCode>0.00</c:formatCode>
                <c:ptCount val="3"/>
                <c:pt idx="0">
                  <c:v>227.983221505182</c:v>
                </c:pt>
                <c:pt idx="1">
                  <c:v>160.695890362781</c:v>
                </c:pt>
                <c:pt idx="2">
                  <c:v>194.41142238957701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56-4672-8728-05CFCDE42AF6}"/>
            </c:ext>
          </c:extLst>
        </c:ser>
        <c:ser>
          <c:idx val="2"/>
          <c:order val="2"/>
          <c:tx>
            <c:strRef>
              <c:f>'Summary Figs'!$B$7</c:f>
              <c:strCache>
                <c:ptCount val="1"/>
                <c:pt idx="0">
                  <c:v>22 Sep (8T)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Figs'!$C$4:$E$4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Figs'!$C$7:$E$7</c:f>
              <c:numCache>
                <c:formatCode>0.00</c:formatCode>
                <c:ptCount val="3"/>
                <c:pt idx="0">
                  <c:v>232.499348069577</c:v>
                </c:pt>
                <c:pt idx="1">
                  <c:v>160.037815028506</c:v>
                </c:pt>
                <c:pt idx="2">
                  <c:v>197.22231150265699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56-4672-8728-05CFCDE42AF6}"/>
            </c:ext>
          </c:extLst>
        </c:ser>
        <c:ser>
          <c:idx val="3"/>
          <c:order val="3"/>
          <c:tx>
            <c:strRef>
              <c:f>'Summary Figs'!$B$8</c:f>
              <c:strCache>
                <c:ptCount val="1"/>
                <c:pt idx="0">
                  <c:v>21 Dec (8T)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'Summary Figs'!$C$4:$E$4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Figs'!$C$8:$E$8</c:f>
              <c:numCache>
                <c:formatCode>0.00</c:formatCode>
                <c:ptCount val="3"/>
                <c:pt idx="0">
                  <c:v>227.61761591537601</c:v>
                </c:pt>
                <c:pt idx="1">
                  <c:v>160.43348133728401</c:v>
                </c:pt>
                <c:pt idx="2">
                  <c:v>194.22470105725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56-4672-8728-05CFCDE42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681240"/>
        <c:axId val="569682552"/>
      </c:barChart>
      <c:catAx>
        <c:axId val="56968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682552"/>
        <c:crosses val="autoZero"/>
        <c:auto val="1"/>
        <c:lblAlgn val="ctr"/>
        <c:lblOffset val="100"/>
        <c:noMultiLvlLbl val="0"/>
      </c:catAx>
      <c:valAx>
        <c:axId val="56968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Duration</a:t>
                </a:r>
                <a:r>
                  <a:rPr lang="en-US" baseline="0"/>
                  <a:t> (days)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68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8-tons, 28.5 Degree Inclination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Figs'!$G$5</c:f>
              <c:strCache>
                <c:ptCount val="1"/>
                <c:pt idx="0">
                  <c:v>20 Mar (8T)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Figs'!$H$4:$J$4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Figs'!$H$5:$J$5</c:f>
              <c:numCache>
                <c:formatCode>0.00</c:formatCode>
                <c:ptCount val="3"/>
                <c:pt idx="0">
                  <c:v>153.83346778503201</c:v>
                </c:pt>
                <c:pt idx="1">
                  <c:v>108.646535534462</c:v>
                </c:pt>
                <c:pt idx="2">
                  <c:v>129.32324242865801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1-4C4E-A347-10605C396556}"/>
            </c:ext>
          </c:extLst>
        </c:ser>
        <c:ser>
          <c:idx val="1"/>
          <c:order val="1"/>
          <c:tx>
            <c:strRef>
              <c:f>'Summary Figs'!$G$6</c:f>
              <c:strCache>
                <c:ptCount val="1"/>
                <c:pt idx="0">
                  <c:v>20 Jun (8T)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Figs'!$H$4:$J$4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Figs'!$H$6:$J$6</c:f>
              <c:numCache>
                <c:formatCode>0.00</c:formatCode>
                <c:ptCount val="3"/>
                <c:pt idx="0">
                  <c:v>158.20644068431599</c:v>
                </c:pt>
                <c:pt idx="1">
                  <c:v>106.111216006411</c:v>
                </c:pt>
                <c:pt idx="2">
                  <c:v>130.27742158533499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1-4C4E-A347-10605C396556}"/>
            </c:ext>
          </c:extLst>
        </c:ser>
        <c:ser>
          <c:idx val="2"/>
          <c:order val="2"/>
          <c:tx>
            <c:strRef>
              <c:f>'Summary Figs'!$G$7</c:f>
              <c:strCache>
                <c:ptCount val="1"/>
                <c:pt idx="0">
                  <c:v>22 Sep (8T)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Figs'!$H$4:$J$4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Figs'!$H$7:$J$7</c:f>
              <c:numCache>
                <c:formatCode>0.00</c:formatCode>
                <c:ptCount val="3"/>
                <c:pt idx="0">
                  <c:v>154.82647316447699</c:v>
                </c:pt>
                <c:pt idx="1">
                  <c:v>108.533789892982</c:v>
                </c:pt>
                <c:pt idx="2">
                  <c:v>129.18399548892501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1-4C4E-A347-10605C396556}"/>
            </c:ext>
          </c:extLst>
        </c:ser>
        <c:ser>
          <c:idx val="3"/>
          <c:order val="3"/>
          <c:tx>
            <c:strRef>
              <c:f>'Summary Figs'!$G$8</c:f>
              <c:strCache>
                <c:ptCount val="1"/>
                <c:pt idx="0">
                  <c:v>21 Dec (8T)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'Summary Figs'!$H$4:$J$4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Figs'!$H$8:$J$8</c:f>
              <c:numCache>
                <c:formatCode>0.00</c:formatCode>
                <c:ptCount val="3"/>
                <c:pt idx="0">
                  <c:v>157.54220983929099</c:v>
                </c:pt>
                <c:pt idx="1">
                  <c:v>106.41267091581101</c:v>
                </c:pt>
                <c:pt idx="2">
                  <c:v>130.20062802356099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61-4C4E-A347-10605C396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595656"/>
        <c:axId val="849592376"/>
      </c:barChart>
      <c:catAx>
        <c:axId val="84959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592376"/>
        <c:crosses val="autoZero"/>
        <c:auto val="1"/>
        <c:lblAlgn val="ctr"/>
        <c:lblOffset val="100"/>
        <c:noMultiLvlLbl val="0"/>
      </c:catAx>
      <c:valAx>
        <c:axId val="84959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Duration</a:t>
                </a:r>
                <a:r>
                  <a:rPr lang="en-US" baseline="0"/>
                  <a:t> (days)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59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8-tons, 51.2 Degree Inclination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Figs'!$B$21</c:f>
              <c:strCache>
                <c:ptCount val="1"/>
                <c:pt idx="0">
                  <c:v>20 Mar (8T)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Figs'!$C$20:$E$20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Figs'!$C$21:$E$21</c:f>
              <c:numCache>
                <c:formatCode>0.00</c:formatCode>
                <c:ptCount val="3"/>
                <c:pt idx="0">
                  <c:v>8888.5730510515859</c:v>
                </c:pt>
                <c:pt idx="1">
                  <c:v>13264.98415476501</c:v>
                </c:pt>
                <c:pt idx="2">
                  <c:v>18141.909175507626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A-4C33-9609-D05E961DFA8A}"/>
            </c:ext>
          </c:extLst>
        </c:ser>
        <c:ser>
          <c:idx val="1"/>
          <c:order val="1"/>
          <c:tx>
            <c:strRef>
              <c:f>'Summary Figs'!$B$22</c:f>
              <c:strCache>
                <c:ptCount val="1"/>
                <c:pt idx="0">
                  <c:v>20 Jun (8T)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Figs'!$C$20:$E$20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Figs'!$C$22:$E$22</c:f>
              <c:numCache>
                <c:formatCode>0.00</c:formatCode>
                <c:ptCount val="3"/>
                <c:pt idx="0">
                  <c:v>8945.8890230580837</c:v>
                </c:pt>
                <c:pt idx="1">
                  <c:v>13336.306037508333</c:v>
                </c:pt>
                <c:pt idx="2">
                  <c:v>18278.456137672718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A-4C33-9609-D05E961DFA8A}"/>
            </c:ext>
          </c:extLst>
        </c:ser>
        <c:ser>
          <c:idx val="2"/>
          <c:order val="2"/>
          <c:tx>
            <c:strRef>
              <c:f>'Summary Figs'!$B$23</c:f>
              <c:strCache>
                <c:ptCount val="1"/>
                <c:pt idx="0">
                  <c:v>22 Sep (8T)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Figs'!$C$20:$E$20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Figs'!$C$23:$E$23</c:f>
              <c:numCache>
                <c:formatCode>0.00</c:formatCode>
                <c:ptCount val="3"/>
                <c:pt idx="0">
                  <c:v>8900.9116721856371</c:v>
                </c:pt>
                <c:pt idx="1">
                  <c:v>13256.548625780651</c:v>
                </c:pt>
                <c:pt idx="2">
                  <c:v>18225.327577108692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A-4C33-9609-D05E961DFA8A}"/>
            </c:ext>
          </c:extLst>
        </c:ser>
        <c:ser>
          <c:idx val="3"/>
          <c:order val="3"/>
          <c:tx>
            <c:strRef>
              <c:f>'Summary Figs'!$B$24</c:f>
              <c:strCache>
                <c:ptCount val="1"/>
                <c:pt idx="0">
                  <c:v>21 Dec (8T)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'Summary Figs'!$C$20:$E$20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Figs'!$C$24:$E$24</c:f>
              <c:numCache>
                <c:formatCode>0.00</c:formatCode>
                <c:ptCount val="3"/>
                <c:pt idx="0">
                  <c:v>8907.0147296596078</c:v>
                </c:pt>
                <c:pt idx="1">
                  <c:v>13361.883552098292</c:v>
                </c:pt>
                <c:pt idx="2">
                  <c:v>18248.672914004721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AA-4C33-9609-D05E961DF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4044480"/>
        <c:axId val="674048088"/>
      </c:barChart>
      <c:catAx>
        <c:axId val="67404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048088"/>
        <c:crosses val="autoZero"/>
        <c:auto val="1"/>
        <c:lblAlgn val="ctr"/>
        <c:lblOffset val="100"/>
        <c:noMultiLvlLbl val="0"/>
      </c:catAx>
      <c:valAx>
        <c:axId val="67404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Kilograms</a:t>
                </a:r>
                <a:r>
                  <a:rPr lang="en-US" baseline="0"/>
                  <a:t> Fuel Used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04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8-tons. 28.5 Degree Inclination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Figs'!$G$21</c:f>
              <c:strCache>
                <c:ptCount val="1"/>
                <c:pt idx="0">
                  <c:v>20 Mar (8T)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Figs'!$H$20:$J$20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Figs'!$H$21:$J$21</c:f>
              <c:numCache>
                <c:formatCode>0.00</c:formatCode>
                <c:ptCount val="3"/>
                <c:pt idx="0">
                  <c:v>6098.0932911462451</c:v>
                </c:pt>
                <c:pt idx="1">
                  <c:v>9057.6458181629423</c:v>
                </c:pt>
                <c:pt idx="2">
                  <c:v>12478.554719078853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F-4F16-960B-B2CC138B5BEA}"/>
            </c:ext>
          </c:extLst>
        </c:ser>
        <c:ser>
          <c:idx val="1"/>
          <c:order val="1"/>
          <c:tx>
            <c:strRef>
              <c:f>'Summary Figs'!$G$22</c:f>
              <c:strCache>
                <c:ptCount val="1"/>
                <c:pt idx="0">
                  <c:v>20 Jun (8T)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Figs'!$H$20:$J$20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Figs'!$H$22:$J$22</c:f>
              <c:numCache>
                <c:formatCode>0.00</c:formatCode>
                <c:ptCount val="3"/>
                <c:pt idx="0">
                  <c:v>6083.981785060244</c:v>
                </c:pt>
                <c:pt idx="1">
                  <c:v>9056.9704280318765</c:v>
                </c:pt>
                <c:pt idx="2">
                  <c:v>12468.166839513398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6F-4F16-960B-B2CC138B5BEA}"/>
            </c:ext>
          </c:extLst>
        </c:ser>
        <c:ser>
          <c:idx val="2"/>
          <c:order val="2"/>
          <c:tx>
            <c:strRef>
              <c:f>'Summary Figs'!$G$23</c:f>
              <c:strCache>
                <c:ptCount val="1"/>
                <c:pt idx="0">
                  <c:v>22 Sep (8T)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Figs'!$H$20:$J$20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Figs'!$H$23:$J$23</c:f>
              <c:numCache>
                <c:formatCode>0.00</c:formatCode>
                <c:ptCount val="3"/>
                <c:pt idx="0">
                  <c:v>6079.204440529119</c:v>
                </c:pt>
                <c:pt idx="1">
                  <c:v>9042.4816484425228</c:v>
                </c:pt>
                <c:pt idx="2">
                  <c:v>12454.451484790179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6F-4F16-960B-B2CC138B5BEA}"/>
            </c:ext>
          </c:extLst>
        </c:ser>
        <c:ser>
          <c:idx val="3"/>
          <c:order val="3"/>
          <c:tx>
            <c:strRef>
              <c:f>'Summary Figs'!$G$24</c:f>
              <c:strCache>
                <c:ptCount val="1"/>
                <c:pt idx="0">
                  <c:v>21 Dec (8T)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'Summary Figs'!$H$20:$J$20</c:f>
              <c:strCache>
                <c:ptCount val="3"/>
                <c:pt idx="0">
                  <c:v>16x8060</c:v>
                </c:pt>
                <c:pt idx="1">
                  <c:v>32x8060</c:v>
                </c:pt>
                <c:pt idx="2">
                  <c:v>64x4063</c:v>
                </c:pt>
              </c:strCache>
            </c:strRef>
          </c:cat>
          <c:val>
            <c:numRef>
              <c:f>'Summary Figs'!$H$24:$J$24</c:f>
              <c:numCache>
                <c:formatCode>0.00</c:formatCode>
                <c:ptCount val="3"/>
                <c:pt idx="0">
                  <c:v>6080.6958678221072</c:v>
                </c:pt>
                <c:pt idx="1">
                  <c:v>9062.9949988345779</c:v>
                </c:pt>
                <c:pt idx="2">
                  <c:v>12463.443674545844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6F-4F16-960B-B2CC138B5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8428408"/>
        <c:axId val="848428080"/>
      </c:barChart>
      <c:catAx>
        <c:axId val="84842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428080"/>
        <c:crosses val="autoZero"/>
        <c:auto val="1"/>
        <c:lblAlgn val="ctr"/>
        <c:lblOffset val="100"/>
        <c:noMultiLvlLbl val="0"/>
      </c:catAx>
      <c:valAx>
        <c:axId val="84842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Kilograms Fuel Used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42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Return (8T)</a:t>
            </a:r>
            <a:r>
              <a:rPr lang="en-US" baseline="0"/>
              <a:t> 51.2 Degree Inclination Change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Figs'!$M$36</c:f>
              <c:strCache>
                <c:ptCount val="1"/>
                <c:pt idx="0">
                  <c:v>16x8060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Figs'!$L$37:$L$40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'Summary Figs'!$M$37:$M$40</c:f>
              <c:numCache>
                <c:formatCode>0.00</c:formatCode>
                <c:ptCount val="4"/>
                <c:pt idx="0">
                  <c:v>0.20781314309969903</c:v>
                </c:pt>
                <c:pt idx="1">
                  <c:v>0.20889612242522129</c:v>
                </c:pt>
                <c:pt idx="2">
                  <c:v>0.2077907400706778</c:v>
                </c:pt>
                <c:pt idx="3">
                  <c:v>0.20745099973604553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2-4887-BAAB-A5F7ACA67BCE}"/>
            </c:ext>
          </c:extLst>
        </c:ser>
        <c:ser>
          <c:idx val="1"/>
          <c:order val="1"/>
          <c:tx>
            <c:strRef>
              <c:f>'Summary Figs'!$N$36</c:f>
              <c:strCache>
                <c:ptCount val="1"/>
                <c:pt idx="0">
                  <c:v>32x8060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Figs'!$L$37:$L$40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'Summary Figs'!$N$37:$N$40</c:f>
              <c:numCache>
                <c:formatCode>0.00</c:formatCode>
                <c:ptCount val="4"/>
                <c:pt idx="0">
                  <c:v>0.26598806732706876</c:v>
                </c:pt>
                <c:pt idx="1">
                  <c:v>0.26542176056274625</c:v>
                </c:pt>
                <c:pt idx="2">
                  <c:v>0.26762129863678003</c:v>
                </c:pt>
                <c:pt idx="3">
                  <c:v>0.26778391156102338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52-4887-BAAB-A5F7ACA67BCE}"/>
            </c:ext>
          </c:extLst>
        </c:ser>
        <c:ser>
          <c:idx val="2"/>
          <c:order val="2"/>
          <c:tx>
            <c:strRef>
              <c:f>'Summary Figs'!$O$36</c:f>
              <c:strCache>
                <c:ptCount val="1"/>
                <c:pt idx="0">
                  <c:v>64x4063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Figs'!$L$37:$L$40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'Summary Figs'!$O$37:$O$40</c:f>
              <c:numCache>
                <c:formatCode>0.00</c:formatCode>
                <c:ptCount val="4"/>
                <c:pt idx="0">
                  <c:v>0.29846727877888785</c:v>
                </c:pt>
                <c:pt idx="1">
                  <c:v>0.29740470996561902</c:v>
                </c:pt>
                <c:pt idx="2">
                  <c:v>0.29883815488290966</c:v>
                </c:pt>
                <c:pt idx="3">
                  <c:v>0.29849953903723475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52-4887-BAAB-A5F7ACA67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7396976"/>
        <c:axId val="797392712"/>
      </c:barChart>
      <c:catAx>
        <c:axId val="79739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392712"/>
        <c:crosses val="autoZero"/>
        <c:auto val="1"/>
        <c:lblAlgn val="ctr"/>
        <c:lblOffset val="100"/>
        <c:noMultiLvlLbl val="0"/>
      </c:catAx>
      <c:valAx>
        <c:axId val="79739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Reserve Fuel as percent of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3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Return (8T) </a:t>
            </a:r>
            <a:r>
              <a:rPr lang="en-US"/>
              <a:t>28.5 Degree Inclination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Figs'!$R$36</c:f>
              <c:strCache>
                <c:ptCount val="1"/>
                <c:pt idx="0">
                  <c:v>16x8060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Figs'!$Q$37:$Q$40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'Summary Figs'!$R$37:$R$40</c:f>
              <c:numCache>
                <c:formatCode>0.00</c:formatCode>
                <c:ptCount val="4"/>
                <c:pt idx="0">
                  <c:v>0.23268265643852581</c:v>
                </c:pt>
                <c:pt idx="1">
                  <c:v>0.23419335107242703</c:v>
                </c:pt>
                <c:pt idx="2">
                  <c:v>0.23246536676607985</c:v>
                </c:pt>
                <c:pt idx="3">
                  <c:v>0.23415298318912192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D-442C-BB92-37A0D3E0A6BD}"/>
            </c:ext>
          </c:extLst>
        </c:ser>
        <c:ser>
          <c:idx val="1"/>
          <c:order val="1"/>
          <c:tx>
            <c:strRef>
              <c:f>'Summary Figs'!$S$36</c:f>
              <c:strCache>
                <c:ptCount val="1"/>
                <c:pt idx="0">
                  <c:v>32x8060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Figs'!$Q$37:$Q$40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'Summary Figs'!$S$37:$S$40</c:f>
              <c:numCache>
                <c:formatCode>0.00</c:formatCode>
                <c:ptCount val="4"/>
                <c:pt idx="0">
                  <c:v>0.30693214975712696</c:v>
                </c:pt>
                <c:pt idx="1">
                  <c:v>0.3084853756633566</c:v>
                </c:pt>
                <c:pt idx="2">
                  <c:v>0.30670521176990562</c:v>
                </c:pt>
                <c:pt idx="3">
                  <c:v>0.30871433095412376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D-442C-BB92-37A0D3E0A6BD}"/>
            </c:ext>
          </c:extLst>
        </c:ser>
        <c:ser>
          <c:idx val="2"/>
          <c:order val="2"/>
          <c:tx>
            <c:strRef>
              <c:f>'Summary Figs'!$T$36</c:f>
              <c:strCache>
                <c:ptCount val="1"/>
                <c:pt idx="0">
                  <c:v>64x4063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Figs'!$Q$37:$Q$40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'Summary Figs'!$T$37:$T$40</c:f>
              <c:numCache>
                <c:formatCode>0.00</c:formatCode>
                <c:ptCount val="4"/>
                <c:pt idx="0">
                  <c:v>0.3332624387827065</c:v>
                </c:pt>
                <c:pt idx="1">
                  <c:v>0.33587328897326257</c:v>
                </c:pt>
                <c:pt idx="2">
                  <c:v>0.33293369789614141</c:v>
                </c:pt>
                <c:pt idx="3">
                  <c:v>0.33587926900738224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D-442C-BB92-37A0D3E0A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4033328"/>
        <c:axId val="674036936"/>
      </c:barChart>
      <c:catAx>
        <c:axId val="67403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036936"/>
        <c:crosses val="autoZero"/>
        <c:auto val="1"/>
        <c:lblAlgn val="ctr"/>
        <c:lblOffset val="100"/>
        <c:noMultiLvlLbl val="0"/>
      </c:catAx>
      <c:valAx>
        <c:axId val="674036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Reserve Fuel as percent of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03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Return (12T) </a:t>
            </a:r>
            <a:r>
              <a:rPr lang="en-US"/>
              <a:t>51.2 Degree Inclination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Figs'!$M$43</c:f>
              <c:strCache>
                <c:ptCount val="1"/>
                <c:pt idx="0">
                  <c:v>32x8060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Figs'!$L$44:$L$47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'Summary Figs'!$M$44:$M$47</c:f>
              <c:numCache>
                <c:formatCode>0.00</c:formatCode>
                <c:ptCount val="4"/>
                <c:pt idx="0">
                  <c:v>0.23295818798930212</c:v>
                </c:pt>
                <c:pt idx="1">
                  <c:v>0.23320581910443586</c:v>
                </c:pt>
                <c:pt idx="2">
                  <c:v>0.23391005095079784</c:v>
                </c:pt>
                <c:pt idx="3">
                  <c:v>0.23459409589560898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9-439C-A70F-19F563EABB06}"/>
            </c:ext>
          </c:extLst>
        </c:ser>
        <c:ser>
          <c:idx val="1"/>
          <c:order val="1"/>
          <c:tx>
            <c:strRef>
              <c:f>'Summary Figs'!$N$43</c:f>
              <c:strCache>
                <c:ptCount val="1"/>
                <c:pt idx="0">
                  <c:v>64x4063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Figs'!$L$44:$L$47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'Summary Figs'!$N$44:$N$47</c:f>
              <c:numCache>
                <c:formatCode>0.00</c:formatCode>
                <c:ptCount val="4"/>
                <c:pt idx="0">
                  <c:v>0.2678274167665064</c:v>
                </c:pt>
                <c:pt idx="1">
                  <c:v>0.26715068419673682</c:v>
                </c:pt>
                <c:pt idx="2">
                  <c:v>0.26873103843107976</c:v>
                </c:pt>
                <c:pt idx="3">
                  <c:v>0.26754584424414268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9-439C-A70F-19F563EAB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804304"/>
        <c:axId val="846798728"/>
      </c:barChart>
      <c:catAx>
        <c:axId val="84680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798728"/>
        <c:crosses val="autoZero"/>
        <c:auto val="1"/>
        <c:lblAlgn val="ctr"/>
        <c:lblOffset val="100"/>
        <c:noMultiLvlLbl val="0"/>
      </c:catAx>
      <c:valAx>
        <c:axId val="8467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Reserve Fuel as percent of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80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Return (12T) </a:t>
            </a:r>
            <a:r>
              <a:rPr lang="en-US"/>
              <a:t>28.5 Degree Inclination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Figs'!$R$43</c:f>
              <c:strCache>
                <c:ptCount val="1"/>
                <c:pt idx="0">
                  <c:v>32x8060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Figs'!$Q$44:$Q$47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'Summary Figs'!$R$44:$R$47</c:f>
              <c:numCache>
                <c:formatCode>0.00</c:formatCode>
                <c:ptCount val="4"/>
                <c:pt idx="0">
                  <c:v>0.26198994439523843</c:v>
                </c:pt>
                <c:pt idx="1">
                  <c:v>0.2642493975247488</c:v>
                </c:pt>
                <c:pt idx="2">
                  <c:v>0.26170986814578351</c:v>
                </c:pt>
                <c:pt idx="3">
                  <c:v>0.26436680934024148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A-4672-A44E-ACFCDE566642}"/>
            </c:ext>
          </c:extLst>
        </c:ser>
        <c:ser>
          <c:idx val="1"/>
          <c:order val="1"/>
          <c:tx>
            <c:strRef>
              <c:f>'Summary Figs'!$S$43</c:f>
              <c:strCache>
                <c:ptCount val="1"/>
                <c:pt idx="0">
                  <c:v>64x4063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Figs'!$Q$44:$Q$47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'Summary Figs'!$S$44:$S$47</c:f>
              <c:numCache>
                <c:formatCode>0.00</c:formatCode>
                <c:ptCount val="4"/>
                <c:pt idx="0">
                  <c:v>0.30014044510493604</c:v>
                </c:pt>
                <c:pt idx="1">
                  <c:v>0.30246520331792015</c:v>
                </c:pt>
                <c:pt idx="2">
                  <c:v>0.30011381335850573</c:v>
                </c:pt>
                <c:pt idx="3">
                  <c:v>0.30236003382097171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A-4672-A44E-ACFCDE566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6770712"/>
        <c:axId val="796775304"/>
      </c:barChart>
      <c:catAx>
        <c:axId val="79677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775304"/>
        <c:crosses val="autoZero"/>
        <c:auto val="1"/>
        <c:lblAlgn val="ctr"/>
        <c:lblOffset val="100"/>
        <c:noMultiLvlLbl val="0"/>
      </c:catAx>
      <c:valAx>
        <c:axId val="79677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Reserve Fuel as percent of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770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8-ton Payload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Figs'!$C$74</c:f>
              <c:strCache>
                <c:ptCount val="1"/>
                <c:pt idx="0">
                  <c:v>32x8060 (28.5)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Figs'!$B$75:$B$78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'Summary Figs'!$C$75:$C$78</c:f>
              <c:numCache>
                <c:formatCode>0</c:formatCode>
                <c:ptCount val="4"/>
                <c:pt idx="0">
                  <c:v>9057.6458181629423</c:v>
                </c:pt>
                <c:pt idx="1">
                  <c:v>9056.9704280318765</c:v>
                </c:pt>
                <c:pt idx="2">
                  <c:v>9042.4816484425228</c:v>
                </c:pt>
                <c:pt idx="3">
                  <c:v>9062.9949988345779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4-4A92-96D2-B2B61E49ADE8}"/>
            </c:ext>
          </c:extLst>
        </c:ser>
        <c:ser>
          <c:idx val="1"/>
          <c:order val="1"/>
          <c:tx>
            <c:strRef>
              <c:f>'Summary Figs'!$D$74</c:f>
              <c:strCache>
                <c:ptCount val="1"/>
                <c:pt idx="0">
                  <c:v>32x8061 (28.5)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Figs'!$B$75:$B$78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'Summary Figs'!$D$75:$D$78</c:f>
              <c:numCache>
                <c:formatCode>0</c:formatCode>
                <c:ptCount val="4"/>
                <c:pt idx="0">
                  <c:v>8621.8440920071771</c:v>
                </c:pt>
                <c:pt idx="1">
                  <c:v>8624.8417083465447</c:v>
                </c:pt>
                <c:pt idx="2">
                  <c:v>8610.2494431644336</c:v>
                </c:pt>
                <c:pt idx="3">
                  <c:v>8624.1529055855135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04-4A92-96D2-B2B61E49ADE8}"/>
            </c:ext>
          </c:extLst>
        </c:ser>
        <c:ser>
          <c:idx val="2"/>
          <c:order val="2"/>
          <c:tx>
            <c:strRef>
              <c:f>'Summary Figs'!$E$74</c:f>
              <c:strCache>
                <c:ptCount val="1"/>
                <c:pt idx="0">
                  <c:v>32x8060 (51.2)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Figs'!$B$75:$B$78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'Summary Figs'!$E$75:$E$78</c:f>
              <c:numCache>
                <c:formatCode>0</c:formatCode>
                <c:ptCount val="4"/>
                <c:pt idx="0">
                  <c:v>13264.98415476501</c:v>
                </c:pt>
                <c:pt idx="1">
                  <c:v>13336.306037508333</c:v>
                </c:pt>
                <c:pt idx="2">
                  <c:v>13256.548625780651</c:v>
                </c:pt>
                <c:pt idx="3">
                  <c:v>13361.883552098292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04-4A92-96D2-B2B61E49ADE8}"/>
            </c:ext>
          </c:extLst>
        </c:ser>
        <c:ser>
          <c:idx val="3"/>
          <c:order val="3"/>
          <c:tx>
            <c:strRef>
              <c:f>'Summary Figs'!$F$74</c:f>
              <c:strCache>
                <c:ptCount val="1"/>
                <c:pt idx="0">
                  <c:v>32x8061 (51.2)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'Summary Figs'!$B$75:$B$78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'Summary Figs'!$F$75:$F$78</c:f>
              <c:numCache>
                <c:formatCode>0</c:formatCode>
                <c:ptCount val="4"/>
                <c:pt idx="0">
                  <c:v>12403.170556588608</c:v>
                </c:pt>
                <c:pt idx="1">
                  <c:v>12438.468455610691</c:v>
                </c:pt>
                <c:pt idx="2">
                  <c:v>12391.535931182683</c:v>
                </c:pt>
                <c:pt idx="3">
                  <c:v>12416.318192797142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04-4A92-96D2-B2B61E49A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9337776"/>
        <c:axId val="939340728"/>
      </c:barChart>
      <c:catAx>
        <c:axId val="93933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340728"/>
        <c:crosses val="autoZero"/>
        <c:auto val="1"/>
        <c:lblAlgn val="ctr"/>
        <c:lblOffset val="100"/>
        <c:noMultiLvlLbl val="0"/>
      </c:catAx>
      <c:valAx>
        <c:axId val="93934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33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of Fuel Reserve from 51.2-deg Inclination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B8-41AF-B61C-30708BA64A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B8-41AF-B61C-30708BA64A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'32x8061-8T Figs'!$B$11:$C$11</c:f>
              <c:strCache>
                <c:ptCount val="2"/>
                <c:pt idx="0">
                  <c:v>51.2 Xfer Mp</c:v>
                </c:pt>
                <c:pt idx="1">
                  <c:v>51.2 Rsv Mp</c:v>
                </c:pt>
              </c:strCache>
            </c:strRef>
          </c:cat>
          <c:val>
            <c:numRef>
              <c:f>'32x8061-8T Figs'!$B$12:$C$12</c:f>
              <c:numCache>
                <c:formatCode>0</c:formatCode>
                <c:ptCount val="2"/>
                <c:pt idx="0">
                  <c:v>8780.4079674324494</c:v>
                </c:pt>
                <c:pt idx="1">
                  <c:v>3635.3666209317707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9-4315-8291-CD3DCD1F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12-ton Payload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Figs'!$C$81</c:f>
              <c:strCache>
                <c:ptCount val="1"/>
                <c:pt idx="0">
                  <c:v>32x8060 (28.5)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Figs'!$B$82:$B$85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'Summary Figs'!$C$82:$C$85</c:f>
              <c:numCache>
                <c:formatCode>0</c:formatCode>
                <c:ptCount val="4"/>
                <c:pt idx="0">
                  <c:v>10611.409949816112</c:v>
                </c:pt>
                <c:pt idx="1">
                  <c:v>10573.128835995371</c:v>
                </c:pt>
                <c:pt idx="2">
                  <c:v>10597.140522672844</c:v>
                </c:pt>
                <c:pt idx="3">
                  <c:v>10583.312044686005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9-4100-91C7-694B3358DBD0}"/>
            </c:ext>
          </c:extLst>
        </c:ser>
        <c:ser>
          <c:idx val="1"/>
          <c:order val="1"/>
          <c:tx>
            <c:strRef>
              <c:f>'Summary Figs'!$D$81</c:f>
              <c:strCache>
                <c:ptCount val="1"/>
                <c:pt idx="0">
                  <c:v>32x8061 (28.5)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Figs'!$B$82:$B$85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'Summary Figs'!$D$82:$D$85</c:f>
              <c:numCache>
                <c:formatCode>0</c:formatCode>
                <c:ptCount val="4"/>
                <c:pt idx="0">
                  <c:v>9770.3639808260014</c:v>
                </c:pt>
                <c:pt idx="1">
                  <c:v>9759.9299516863939</c:v>
                </c:pt>
                <c:pt idx="2">
                  <c:v>9770.2776281083916</c:v>
                </c:pt>
                <c:pt idx="3">
                  <c:v>9755.7667877755248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79-4100-91C7-694B3358DBD0}"/>
            </c:ext>
          </c:extLst>
        </c:ser>
        <c:ser>
          <c:idx val="2"/>
          <c:order val="2"/>
          <c:tx>
            <c:strRef>
              <c:f>'Summary Figs'!$E$81</c:f>
              <c:strCache>
                <c:ptCount val="1"/>
                <c:pt idx="0">
                  <c:v>32x8060(51.2)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'Summary Figs'!$B$82:$B$85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'Summary Figs'!$E$82:$E$85</c:f>
              <c:numCache>
                <c:formatCode>0</c:formatCode>
                <c:ptCount val="4"/>
                <c:pt idx="0">
                  <c:v>15145.754390106105</c:v>
                </c:pt>
                <c:pt idx="1">
                  <c:v>15178.634227363986</c:v>
                </c:pt>
                <c:pt idx="2">
                  <c:v>15167.089846084866</c:v>
                </c:pt>
                <c:pt idx="3">
                  <c:v>15252.291110497446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79-4100-91C7-694B3358DBD0}"/>
            </c:ext>
          </c:extLst>
        </c:ser>
        <c:ser>
          <c:idx val="3"/>
          <c:order val="3"/>
          <c:tx>
            <c:strRef>
              <c:f>'Summary Figs'!$F$81</c:f>
              <c:strCache>
                <c:ptCount val="1"/>
                <c:pt idx="0">
                  <c:v>32x8061 (51.2)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'Summary Figs'!$B$82:$B$85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'Summary Figs'!$F$82:$F$85</c:f>
              <c:numCache>
                <c:formatCode>0</c:formatCode>
                <c:ptCount val="4"/>
                <c:pt idx="0">
                  <c:v>14256.14390266328</c:v>
                </c:pt>
                <c:pt idx="1">
                  <c:v>14251.132701282142</c:v>
                </c:pt>
                <c:pt idx="2">
                  <c:v>14210.943106748455</c:v>
                </c:pt>
                <c:pt idx="3">
                  <c:v>14255.033959037006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79-4100-91C7-694B3358D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4481824"/>
        <c:axId val="914486088"/>
      </c:barChart>
      <c:catAx>
        <c:axId val="9144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4486088"/>
        <c:crosses val="autoZero"/>
        <c:auto val="1"/>
        <c:lblAlgn val="ctr"/>
        <c:lblOffset val="100"/>
        <c:noMultiLvlLbl val="0"/>
      </c:catAx>
      <c:valAx>
        <c:axId val="91448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448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</a:t>
            </a:r>
            <a:r>
              <a:rPr lang="en-US" baseline="0"/>
              <a:t> of Fuel Reserve from 28.5-deg Inclination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80-4A63-ADC0-557347F577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80-4A63-ADC0-557347F577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'32x8061-8T Figs'!$D$11:$E$11</c:f>
              <c:strCache>
                <c:ptCount val="2"/>
                <c:pt idx="0">
                  <c:v>28.5 Xfer Mp</c:v>
                </c:pt>
                <c:pt idx="1">
                  <c:v>28.5 Rsv Mp</c:v>
                </c:pt>
              </c:strCache>
            </c:strRef>
          </c:cat>
          <c:val>
            <c:numRef>
              <c:f>'32x8061-8T Figs'!$D$12:$E$12</c:f>
              <c:numCache>
                <c:formatCode>0</c:formatCode>
                <c:ptCount val="2"/>
                <c:pt idx="0">
                  <c:v>5814.3252388765104</c:v>
                </c:pt>
                <c:pt idx="1">
                  <c:v>2807.5147611234902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A-4B59-ADC7-6278F36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Fuel Consumption</a:t>
            </a:r>
            <a:r>
              <a:rPr lang="en-US" baseline="0"/>
              <a:t> </a:t>
            </a:r>
            <a:r>
              <a:rPr lang="en-US"/>
              <a:t>32x8061,</a:t>
            </a:r>
            <a:r>
              <a:rPr lang="en-US" baseline="0"/>
              <a:t> </a:t>
            </a:r>
            <a:r>
              <a:rPr lang="en-US"/>
              <a:t>12-ton Payload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'32x8061-12T Figs'!$B$4</c:f>
              <c:strCache>
                <c:ptCount val="1"/>
                <c:pt idx="0">
                  <c:v>Mp (28.5)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'32x8061-12T Figs'!$A$5:$A$8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'32x8061-12T Figs'!$B$5:$B$8</c:f>
              <c:numCache>
                <c:formatCode>0.00</c:formatCode>
                <c:ptCount val="4"/>
                <c:pt idx="0">
                  <c:v>9770.3639808260014</c:v>
                </c:pt>
                <c:pt idx="1">
                  <c:v>9759.9299516863939</c:v>
                </c:pt>
                <c:pt idx="2">
                  <c:v>9770.2776281083916</c:v>
                </c:pt>
                <c:pt idx="3">
                  <c:v>9755.7667877755248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1-4EBB-A4E7-7E3B6FA48AAE}"/>
            </c:ext>
          </c:extLst>
        </c:ser>
        <c:ser>
          <c:idx val="1"/>
          <c:order val="1"/>
          <c:tx>
            <c:strRef>
              <c:f>'32x8061-12T Figs'!$C$4</c:f>
              <c:strCache>
                <c:ptCount val="1"/>
                <c:pt idx="0">
                  <c:v>Mp(51.2)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'32x8061-12T Figs'!$A$5:$A$8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'32x8061-12T Figs'!$C$5:$C$8</c:f>
              <c:numCache>
                <c:formatCode>0.00</c:formatCode>
                <c:ptCount val="4"/>
                <c:pt idx="0">
                  <c:v>14256.14390266328</c:v>
                </c:pt>
                <c:pt idx="1">
                  <c:v>14251.132701282142</c:v>
                </c:pt>
                <c:pt idx="2">
                  <c:v>14210.943106748455</c:v>
                </c:pt>
                <c:pt idx="3">
                  <c:v>14255.033959037006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1-4EBB-A4E7-7E3B6FA48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154480"/>
        <c:axId val="846161368"/>
      </c:barChart>
      <c:catAx>
        <c:axId val="84615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61368"/>
        <c:crosses val="autoZero"/>
        <c:auto val="1"/>
        <c:lblAlgn val="ctr"/>
        <c:lblOffset val="100"/>
        <c:noMultiLvlLbl val="0"/>
      </c:catAx>
      <c:valAx>
        <c:axId val="84616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Kilograms</a:t>
                </a:r>
                <a:r>
                  <a:rPr lang="en-US" baseline="0"/>
                  <a:t> fuel used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5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Flight Duration 32x8061,</a:t>
            </a:r>
            <a:r>
              <a:rPr lang="en-US" baseline="0"/>
              <a:t> </a:t>
            </a:r>
            <a:r>
              <a:rPr lang="en-US"/>
              <a:t>12-ton</a:t>
            </a:r>
            <a:r>
              <a:rPr lang="en-US" baseline="0"/>
              <a:t> Payload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'32x8061-12T Figs'!$B$22</c:f>
              <c:strCache>
                <c:ptCount val="1"/>
                <c:pt idx="0">
                  <c:v>28.5 out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'32x8061-12T Figs'!$A$23:$A$26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'32x8061-12T Figs'!$B$23:$B$26</c:f>
              <c:numCache>
                <c:formatCode>0.00</c:formatCode>
                <c:ptCount val="4"/>
                <c:pt idx="0">
                  <c:v>136.039403650705</c:v>
                </c:pt>
                <c:pt idx="1">
                  <c:v>137.796577589641</c:v>
                </c:pt>
                <c:pt idx="2">
                  <c:v>136.02770082332401</c:v>
                </c:pt>
                <c:pt idx="3">
                  <c:v>137.606881493684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F-4ED5-A396-295DB7BE4BBB}"/>
            </c:ext>
          </c:extLst>
        </c:ser>
        <c:ser>
          <c:idx val="1"/>
          <c:order val="1"/>
          <c:tx>
            <c:strRef>
              <c:f>'32x8061-12T Figs'!$C$22</c:f>
              <c:strCache>
                <c:ptCount val="1"/>
                <c:pt idx="0">
                  <c:v>28.5 rtn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'32x8061-12T Figs'!$A$23:$A$26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'32x8061-12T Figs'!$C$23:$C$26</c:f>
              <c:numCache>
                <c:formatCode>0.00</c:formatCode>
                <c:ptCount val="4"/>
                <c:pt idx="0">
                  <c:v>58.013148138306804</c:v>
                </c:pt>
                <c:pt idx="1">
                  <c:v>54.787956253880097</c:v>
                </c:pt>
                <c:pt idx="2">
                  <c:v>57.986810795282501</c:v>
                </c:pt>
                <c:pt idx="3">
                  <c:v>54.687870921217801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BF-4ED5-A396-295DB7BE4BBB}"/>
            </c:ext>
          </c:extLst>
        </c:ser>
        <c:ser>
          <c:idx val="2"/>
          <c:order val="2"/>
          <c:tx>
            <c:strRef>
              <c:f>'32x8061-12T Figs'!$D$22</c:f>
              <c:strCache>
                <c:ptCount val="1"/>
                <c:pt idx="0">
                  <c:v>51.2 out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'32x8061-12T Figs'!$A$23:$A$26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'32x8061-12T Figs'!$D$23:$D$26</c:f>
              <c:numCache>
                <c:formatCode>0.00</c:formatCode>
                <c:ptCount val="4"/>
                <c:pt idx="0">
                  <c:v>203.97227200232001</c:v>
                </c:pt>
                <c:pt idx="1">
                  <c:v>200.75820043590599</c:v>
                </c:pt>
                <c:pt idx="2">
                  <c:v>203.60174127835799</c:v>
                </c:pt>
                <c:pt idx="3">
                  <c:v>200.52150068983599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1-4B68-BBF9-B6BF0AFA282A}"/>
            </c:ext>
          </c:extLst>
        </c:ser>
        <c:ser>
          <c:idx val="3"/>
          <c:order val="3"/>
          <c:tx>
            <c:strRef>
              <c:f>'32x8061-12T Figs'!$E$22</c:f>
              <c:strCache>
                <c:ptCount val="1"/>
                <c:pt idx="0">
                  <c:v>51.2 rtn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'32x8061-12T Figs'!$A$23:$A$26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'32x8061-12T Figs'!$E$23:$E$26</c:f>
              <c:numCache>
                <c:formatCode>0.00</c:formatCode>
                <c:ptCount val="4"/>
                <c:pt idx="0">
                  <c:v>72.109166937258095</c:v>
                </c:pt>
                <c:pt idx="1">
                  <c:v>71.274233200427204</c:v>
                </c:pt>
                <c:pt idx="2">
                  <c:v>71.307111317313598</c:v>
                </c:pt>
                <c:pt idx="3">
                  <c:v>70.771552530561095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1-4B68-BBF9-B6BF0AFA2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180392"/>
        <c:axId val="846173176"/>
      </c:barChart>
      <c:catAx>
        <c:axId val="84618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73176"/>
        <c:crosses val="autoZero"/>
        <c:auto val="1"/>
        <c:lblAlgn val="ctr"/>
        <c:lblOffset val="100"/>
        <c:noMultiLvlLbl val="0"/>
      </c:catAx>
      <c:valAx>
        <c:axId val="84617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Duration</a:t>
                </a:r>
                <a:r>
                  <a:rPr lang="en-US" baseline="0"/>
                  <a:t> (Days)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8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of Fuel</a:t>
            </a:r>
            <a:r>
              <a:rPr lang="en-US" baseline="0"/>
              <a:t> Reserve from </a:t>
            </a:r>
            <a:r>
              <a:rPr lang="en-US"/>
              <a:t>51.2-deg Inclination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20-4E8A-9286-9B07DAC0B6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20-4E8A-9286-9B07DAC0B6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'32x8061-12T Figs'!$B$11:$C$11</c:f>
              <c:strCache>
                <c:ptCount val="2"/>
                <c:pt idx="0">
                  <c:v>51.2 Xfer Mp</c:v>
                </c:pt>
                <c:pt idx="1">
                  <c:v>51.2 Rsv Mp</c:v>
                </c:pt>
              </c:strCache>
            </c:strRef>
          </c:cat>
          <c:val>
            <c:numRef>
              <c:f>'32x8061-12T Figs'!$B$12:$C$12</c:f>
              <c:numCache>
                <c:formatCode>0</c:formatCode>
                <c:ptCount val="2"/>
                <c:pt idx="0">
                  <c:v>10525.104219428409</c:v>
                </c:pt>
                <c:pt idx="1">
                  <c:v>3731.0357805715898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E-4ACA-AA01-88C25D53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of Fuel Reserve from 28.5-deg</a:t>
            </a:r>
            <a:r>
              <a:rPr lang="en-US" baseline="0"/>
              <a:t> Inclination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E1-40DF-BC78-63A0B09776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E1-40DF-BC78-63A0B09776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'32x8061-12T Figs'!$D$11:$E$11</c:f>
              <c:strCache>
                <c:ptCount val="2"/>
                <c:pt idx="0">
                  <c:v>28.5 Xfer Mp</c:v>
                </c:pt>
                <c:pt idx="1">
                  <c:v>28.5 Rsv Mp</c:v>
                </c:pt>
              </c:strCache>
            </c:strRef>
          </c:cat>
          <c:val>
            <c:numRef>
              <c:f>'32x8061-12T Figs'!$D$12:$E$12</c:f>
              <c:numCache>
                <c:formatCode>0</c:formatCode>
                <c:ptCount val="2"/>
                <c:pt idx="0">
                  <c:v>7024.8696237666009</c:v>
                </c:pt>
                <c:pt idx="1">
                  <c:v>2745.4903762334002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3-4763-BDBD-66AA8B0BE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Fuel Consumption</a:t>
            </a:r>
            <a:r>
              <a:rPr lang="en-US" baseline="0"/>
              <a:t> </a:t>
            </a:r>
            <a:r>
              <a:rPr lang="en-US"/>
              <a:t>64x6295,</a:t>
            </a:r>
            <a:r>
              <a:rPr lang="en-US" baseline="0"/>
              <a:t> 24</a:t>
            </a:r>
            <a:r>
              <a:rPr lang="en-US"/>
              <a:t>-ton Payload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'64x6295-24T Figs'!$B$4</c:f>
              <c:strCache>
                <c:ptCount val="1"/>
                <c:pt idx="0">
                  <c:v>Mp (28.5)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'64x6295-24T Figs'!$A$5:$A$8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'64x6295-24T Figs'!$B$5:$B$8</c:f>
              <c:numCache>
                <c:formatCode>0.00</c:formatCode>
                <c:ptCount val="4"/>
                <c:pt idx="0">
                  <c:v>14320.0971345528</c:v>
                </c:pt>
                <c:pt idx="1">
                  <c:v>14379.652692544558</c:v>
                </c:pt>
                <c:pt idx="2">
                  <c:v>14311.179914930119</c:v>
                </c:pt>
                <c:pt idx="3">
                  <c:v>14366.952426450131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8-47C7-8A1E-B9D7CB33A63A}"/>
            </c:ext>
          </c:extLst>
        </c:ser>
        <c:ser>
          <c:idx val="1"/>
          <c:order val="1"/>
          <c:tx>
            <c:strRef>
              <c:f>'64x6295-24T Figs'!$C$4</c:f>
              <c:strCache>
                <c:ptCount val="1"/>
                <c:pt idx="0">
                  <c:v>Mp(51.2)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'64x6295-24T Figs'!$A$5:$A$8</c:f>
              <c:strCache>
                <c:ptCount val="4"/>
                <c:pt idx="0">
                  <c:v>Spring</c:v>
                </c:pt>
                <c:pt idx="1">
                  <c:v>Summer</c:v>
                </c:pt>
                <c:pt idx="2">
                  <c:v>Autumn</c:v>
                </c:pt>
                <c:pt idx="3">
                  <c:v>Winter</c:v>
                </c:pt>
              </c:strCache>
            </c:strRef>
          </c:cat>
          <c:val>
            <c:numRef>
              <c:f>'64x6295-24T Figs'!$C$5:$C$8</c:f>
              <c:numCache>
                <c:formatCode>0.00</c:formatCode>
                <c:ptCount val="4"/>
                <c:pt idx="0">
                  <c:v>21504.1192366002</c:v>
                </c:pt>
                <c:pt idx="1">
                  <c:v>21516.803359323887</c:v>
                </c:pt>
                <c:pt idx="2">
                  <c:v>21508.76254474467</c:v>
                </c:pt>
                <c:pt idx="3">
                  <c:v>21570.003250947499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8-47C7-8A1E-B9D7CB33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154480"/>
        <c:axId val="846161368"/>
      </c:barChart>
      <c:catAx>
        <c:axId val="84615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61368"/>
        <c:crosses val="autoZero"/>
        <c:auto val="1"/>
        <c:lblAlgn val="ctr"/>
        <c:lblOffset val="100"/>
        <c:noMultiLvlLbl val="0"/>
      </c:catAx>
      <c:valAx>
        <c:axId val="84616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Kilograms</a:t>
                </a:r>
                <a:r>
                  <a:rPr lang="en-US" baseline="0"/>
                  <a:t> fuel used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5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2</xdr:row>
      <xdr:rowOff>4762</xdr:rowOff>
    </xdr:from>
    <xdr:to>
      <xdr:col>15</xdr:col>
      <xdr:colOff>309562</xdr:colOff>
      <xdr:row>16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E8A0D4-6998-4016-85F2-080968833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328612</xdr:colOff>
      <xdr:row>2</xdr:row>
      <xdr:rowOff>4762</xdr:rowOff>
    </xdr:from>
    <xdr:to>
      <xdr:col>23</xdr:col>
      <xdr:colOff>23812</xdr:colOff>
      <xdr:row>16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419A0A-C07B-41E1-9133-F4B882F91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</xdr:colOff>
      <xdr:row>16</xdr:row>
      <xdr:rowOff>100012</xdr:rowOff>
    </xdr:from>
    <xdr:to>
      <xdr:col>15</xdr:col>
      <xdr:colOff>319087</xdr:colOff>
      <xdr:row>30</xdr:row>
      <xdr:rowOff>176212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8FCBD2-0341-45E2-94DC-35B8D92999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338137</xdr:colOff>
      <xdr:row>16</xdr:row>
      <xdr:rowOff>100012</xdr:rowOff>
    </xdr:from>
    <xdr:to>
      <xdr:col>23</xdr:col>
      <xdr:colOff>33337</xdr:colOff>
      <xdr:row>30</xdr:row>
      <xdr:rowOff>176212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BAEAFBA-A812-496E-86A4-12988F00BC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252412</xdr:colOff>
      <xdr:row>1</xdr:row>
      <xdr:rowOff>185737</xdr:rowOff>
    </xdr:from>
    <xdr:to>
      <xdr:col>16</xdr:col>
      <xdr:colOff>328612</xdr:colOff>
      <xdr:row>16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7C2C4A-858A-44AE-A942-A1DE77EFA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261937</xdr:colOff>
      <xdr:row>16</xdr:row>
      <xdr:rowOff>61912</xdr:rowOff>
    </xdr:from>
    <xdr:to>
      <xdr:col>16</xdr:col>
      <xdr:colOff>338137</xdr:colOff>
      <xdr:row>30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AF4406-22FA-44BD-90AE-B024B77CF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328612</xdr:colOff>
      <xdr:row>1</xdr:row>
      <xdr:rowOff>185737</xdr:rowOff>
    </xdr:from>
    <xdr:to>
      <xdr:col>24</xdr:col>
      <xdr:colOff>23812</xdr:colOff>
      <xdr:row>16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ECF58FD-01E2-4E61-8E9A-358B48536D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328612</xdr:colOff>
      <xdr:row>16</xdr:row>
      <xdr:rowOff>71437</xdr:rowOff>
    </xdr:from>
    <xdr:to>
      <xdr:col>24</xdr:col>
      <xdr:colOff>23812</xdr:colOff>
      <xdr:row>30</xdr:row>
      <xdr:rowOff>147637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B7851A8-F840-4B08-A804-9C1FAB08E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1</xdr:row>
      <xdr:rowOff>185737</xdr:rowOff>
    </xdr:from>
    <xdr:to>
      <xdr:col>15</xdr:col>
      <xdr:colOff>309562</xdr:colOff>
      <xdr:row>16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5CE318-A65A-4A6C-87D0-FACFA860B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</xdr:colOff>
      <xdr:row>16</xdr:row>
      <xdr:rowOff>71437</xdr:rowOff>
    </xdr:from>
    <xdr:to>
      <xdr:col>15</xdr:col>
      <xdr:colOff>309562</xdr:colOff>
      <xdr:row>31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FFAFD9-7E7F-4023-BF84-50877F65A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328612</xdr:colOff>
      <xdr:row>1</xdr:row>
      <xdr:rowOff>176212</xdr:rowOff>
    </xdr:from>
    <xdr:to>
      <xdr:col>22</xdr:col>
      <xdr:colOff>404812</xdr:colOff>
      <xdr:row>16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A9825B-F7B0-439F-9F9D-3340A4405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319087</xdr:colOff>
      <xdr:row>16</xdr:row>
      <xdr:rowOff>80962</xdr:rowOff>
    </xdr:from>
    <xdr:to>
      <xdr:col>22</xdr:col>
      <xdr:colOff>395287</xdr:colOff>
      <xdr:row>31</xdr:row>
      <xdr:rowOff>157162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9220D96-DB46-4189-A430-961E57380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585787</xdr:colOff>
      <xdr:row>2</xdr:row>
      <xdr:rowOff>4762</xdr:rowOff>
    </xdr:from>
    <xdr:to>
      <xdr:col>14</xdr:col>
      <xdr:colOff>280987</xdr:colOff>
      <xdr:row>16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3C93FC-7E77-465A-B11A-EEF0C640B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</xdr:colOff>
      <xdr:row>18</xdr:row>
      <xdr:rowOff>4762</xdr:rowOff>
    </xdr:from>
    <xdr:to>
      <xdr:col>14</xdr:col>
      <xdr:colOff>319087</xdr:colOff>
      <xdr:row>32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FFF44D-27C9-4107-904C-310D44628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519112</xdr:colOff>
      <xdr:row>8</xdr:row>
      <xdr:rowOff>14287</xdr:rowOff>
    </xdr:from>
    <xdr:to>
      <xdr:col>21</xdr:col>
      <xdr:colOff>595312</xdr:colOff>
      <xdr:row>22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CCFBC9-38CC-4EC2-B5F3-B75A4BE5E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490537</xdr:colOff>
      <xdr:row>23</xdr:row>
      <xdr:rowOff>4762</xdr:rowOff>
    </xdr:from>
    <xdr:to>
      <xdr:col>21</xdr:col>
      <xdr:colOff>566737</xdr:colOff>
      <xdr:row>37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A156989-DE09-49F5-B482-5E2CE29BD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300037</xdr:colOff>
      <xdr:row>2</xdr:row>
      <xdr:rowOff>4762</xdr:rowOff>
    </xdr:from>
    <xdr:to>
      <xdr:col>14</xdr:col>
      <xdr:colOff>604837</xdr:colOff>
      <xdr:row>16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139984-533A-4D92-8EA7-905BC7205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309562</xdr:colOff>
      <xdr:row>18</xdr:row>
      <xdr:rowOff>4762</xdr:rowOff>
    </xdr:from>
    <xdr:to>
      <xdr:col>15</xdr:col>
      <xdr:colOff>4762</xdr:colOff>
      <xdr:row>32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739A65-0EE5-4ACF-B878-809092639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595312</xdr:colOff>
      <xdr:row>2</xdr:row>
      <xdr:rowOff>4762</xdr:rowOff>
    </xdr:from>
    <xdr:to>
      <xdr:col>22</xdr:col>
      <xdr:colOff>61912</xdr:colOff>
      <xdr:row>16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B3FE0D2-E500-47DE-9822-48A8E0DD5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14287</xdr:colOff>
      <xdr:row>17</xdr:row>
      <xdr:rowOff>185737</xdr:rowOff>
    </xdr:from>
    <xdr:to>
      <xdr:col>22</xdr:col>
      <xdr:colOff>90487</xdr:colOff>
      <xdr:row>32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8C3D8AE-7C49-4BF7-9252-D84162372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</xdr:colOff>
      <xdr:row>2</xdr:row>
      <xdr:rowOff>185737</xdr:rowOff>
    </xdr:from>
    <xdr:to>
      <xdr:col>18</xdr:col>
      <xdr:colOff>309562</xdr:colOff>
      <xdr:row>17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4DBB5B-3469-47E4-BB1D-662B983BEB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28575</xdr:colOff>
      <xdr:row>2</xdr:row>
      <xdr:rowOff>185737</xdr:rowOff>
    </xdr:from>
    <xdr:to>
      <xdr:col>26</xdr:col>
      <xdr:colOff>333375</xdr:colOff>
      <xdr:row>17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CCFD64-CCAE-41C5-9B4F-29072C955A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595312</xdr:colOff>
      <xdr:row>19</xdr:row>
      <xdr:rowOff>4762</xdr:rowOff>
    </xdr:from>
    <xdr:to>
      <xdr:col>18</xdr:col>
      <xdr:colOff>290512</xdr:colOff>
      <xdr:row>33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61E37CB-F5A9-4FA6-87CD-2833EBB16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4762</xdr:colOff>
      <xdr:row>18</xdr:row>
      <xdr:rowOff>176212</xdr:rowOff>
    </xdr:from>
    <xdr:to>
      <xdr:col>26</xdr:col>
      <xdr:colOff>309562</xdr:colOff>
      <xdr:row>33</xdr:row>
      <xdr:rowOff>61912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3B8F229-D609-430D-BF1D-BF101FF3B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48</xdr:row>
      <xdr:rowOff>33337</xdr:rowOff>
    </xdr:from>
    <xdr:to>
      <xdr:col>18</xdr:col>
      <xdr:colOff>304800</xdr:colOff>
      <xdr:row>62</xdr:row>
      <xdr:rowOff>109537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CEEFD13-DB88-43DD-B20A-3178534CDC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481012</xdr:colOff>
      <xdr:row>48</xdr:row>
      <xdr:rowOff>23812</xdr:rowOff>
    </xdr:from>
    <xdr:to>
      <xdr:col>26</xdr:col>
      <xdr:colOff>176212</xdr:colOff>
      <xdr:row>62</xdr:row>
      <xdr:rowOff>100012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65A5B9A-D5FD-4704-AE55-712C4E2599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595312</xdr:colOff>
      <xdr:row>63</xdr:row>
      <xdr:rowOff>176212</xdr:rowOff>
    </xdr:from>
    <xdr:to>
      <xdr:col>18</xdr:col>
      <xdr:colOff>290512</xdr:colOff>
      <xdr:row>78</xdr:row>
      <xdr:rowOff>61912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1E5AAD5-67C6-4868-B22F-36B1679D3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490537</xdr:colOff>
      <xdr:row>63</xdr:row>
      <xdr:rowOff>185737</xdr:rowOff>
    </xdr:from>
    <xdr:to>
      <xdr:col>26</xdr:col>
      <xdr:colOff>185737</xdr:colOff>
      <xdr:row>78</xdr:row>
      <xdr:rowOff>71437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65402A7-463F-4D9A-839C-1B0A30472E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509587</xdr:colOff>
      <xdr:row>57</xdr:row>
      <xdr:rowOff>90487</xdr:rowOff>
    </xdr:from>
    <xdr:to>
      <xdr:col>7</xdr:col>
      <xdr:colOff>128587</xdr:colOff>
      <xdr:row>71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F65FA5-B8C4-42B8-8B8E-0E352A8B89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14287</xdr:colOff>
      <xdr:row>86</xdr:row>
      <xdr:rowOff>23812</xdr:rowOff>
    </xdr:from>
    <xdr:to>
      <xdr:col>7</xdr:col>
      <xdr:colOff>500062</xdr:colOff>
      <xdr:row>100</xdr:row>
      <xdr:rowOff>100012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4063C04-FB65-4E0B-96D0-E766AC1DF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925C-36A8-4768-AEC7-FA1E9C519659}">
  <dimension ref="A1:P22"/>
  <sheetViews>
    <sheetView tabSelected="1" workbookViewId="0">
      <selection activeCell="D30" sqref="D30"/>
    </sheetView>
  </sheetViews>
  <sheetFormatPr defaultRowHeight="15" x14ac:dyDescent="0.25"/>
  <cols>
    <col min="3" max="3" width="10.5703125" bestFit="1" customWidth="1"/>
    <col min="4" max="4" width="9.85546875" bestFit="1" customWidth="1"/>
    <col min="5" max="5" width="10.5703125" bestFit="1" customWidth="1"/>
    <col min="11" max="11" width="27.7109375" customWidth="1"/>
    <col min="15" max="15" width="11.85546875" customWidth="1"/>
  </cols>
  <sheetData>
    <row r="1" spans="1:16" x14ac:dyDescent="0.25">
      <c r="A1" t="s">
        <v>176</v>
      </c>
      <c r="C1" s="78">
        <v>150</v>
      </c>
      <c r="D1" t="s">
        <v>177</v>
      </c>
    </row>
    <row r="2" spans="1:16" x14ac:dyDescent="0.25">
      <c r="A2" t="s">
        <v>164</v>
      </c>
      <c r="C2">
        <v>4</v>
      </c>
      <c r="K2" t="s">
        <v>198</v>
      </c>
      <c r="L2" s="81"/>
    </row>
    <row r="3" spans="1:16" x14ac:dyDescent="0.25">
      <c r="A3" t="s">
        <v>165</v>
      </c>
      <c r="C3">
        <v>63.8</v>
      </c>
      <c r="D3" t="s">
        <v>169</v>
      </c>
      <c r="K3" t="s">
        <v>186</v>
      </c>
      <c r="L3" s="78">
        <f>C2*C8</f>
        <v>60.827586206896555</v>
      </c>
      <c r="M3" t="s">
        <v>177</v>
      </c>
    </row>
    <row r="4" spans="1:16" x14ac:dyDescent="0.25">
      <c r="A4" t="s">
        <v>166</v>
      </c>
      <c r="C4" s="78">
        <v>98</v>
      </c>
      <c r="D4" t="s">
        <v>168</v>
      </c>
      <c r="K4" t="s">
        <v>180</v>
      </c>
      <c r="L4" s="78">
        <v>31</v>
      </c>
      <c r="M4" t="s">
        <v>177</v>
      </c>
    </row>
    <row r="5" spans="1:16" x14ac:dyDescent="0.25">
      <c r="A5" t="s">
        <v>167</v>
      </c>
      <c r="C5" s="79">
        <f>C4/C3</f>
        <v>1.5360501567398119</v>
      </c>
      <c r="D5" t="s">
        <v>174</v>
      </c>
      <c r="K5" t="s">
        <v>187</v>
      </c>
      <c r="L5" s="79">
        <f>N5*N6/1000000</f>
        <v>2.85</v>
      </c>
      <c r="M5" t="s">
        <v>177</v>
      </c>
      <c r="N5" s="81">
        <v>30000</v>
      </c>
      <c r="O5" t="s">
        <v>181</v>
      </c>
      <c r="P5" t="s">
        <v>200</v>
      </c>
    </row>
    <row r="6" spans="1:16" x14ac:dyDescent="0.25">
      <c r="A6" t="s">
        <v>170</v>
      </c>
      <c r="C6">
        <v>2.5</v>
      </c>
      <c r="D6" t="s">
        <v>171</v>
      </c>
      <c r="N6" s="78">
        <v>95</v>
      </c>
      <c r="O6" t="s">
        <v>182</v>
      </c>
      <c r="P6" t="s">
        <v>199</v>
      </c>
    </row>
    <row r="7" spans="1:16" x14ac:dyDescent="0.25">
      <c r="A7" t="s">
        <v>172</v>
      </c>
      <c r="C7">
        <f>9.9</f>
        <v>9.9</v>
      </c>
      <c r="D7" t="s">
        <v>169</v>
      </c>
      <c r="K7" t="s">
        <v>188</v>
      </c>
      <c r="L7" s="79">
        <f>N7*N8</f>
        <v>25.439999999999998</v>
      </c>
      <c r="M7" t="s">
        <v>177</v>
      </c>
      <c r="N7">
        <v>120</v>
      </c>
      <c r="O7" t="s">
        <v>189</v>
      </c>
    </row>
    <row r="8" spans="1:16" x14ac:dyDescent="0.25">
      <c r="A8" t="s">
        <v>173</v>
      </c>
      <c r="C8" s="79">
        <f>C7*C5</f>
        <v>15.206896551724139</v>
      </c>
      <c r="D8" t="s">
        <v>179</v>
      </c>
      <c r="N8" s="79">
        <v>0.21199999999999999</v>
      </c>
      <c r="O8" t="s">
        <v>195</v>
      </c>
      <c r="P8" t="s">
        <v>196</v>
      </c>
    </row>
    <row r="9" spans="1:16" x14ac:dyDescent="0.25">
      <c r="A9" t="s">
        <v>175</v>
      </c>
      <c r="C9" s="78">
        <f>C1*C2*C6</f>
        <v>1500</v>
      </c>
      <c r="D9" t="s">
        <v>178</v>
      </c>
      <c r="K9" t="s">
        <v>190</v>
      </c>
      <c r="L9" s="78">
        <f>N9*N10*N11</f>
        <v>579.6</v>
      </c>
      <c r="M9" t="s">
        <v>177</v>
      </c>
      <c r="N9">
        <v>4</v>
      </c>
      <c r="O9" t="s">
        <v>194</v>
      </c>
    </row>
    <row r="10" spans="1:16" x14ac:dyDescent="0.25">
      <c r="N10" s="78">
        <v>805</v>
      </c>
      <c r="O10" t="s">
        <v>177</v>
      </c>
      <c r="P10" t="s">
        <v>197</v>
      </c>
    </row>
    <row r="11" spans="1:16" x14ac:dyDescent="0.25">
      <c r="A11" t="s">
        <v>183</v>
      </c>
      <c r="C11" s="80">
        <f>C9-C10*(C9)</f>
        <v>1500</v>
      </c>
      <c r="D11" s="79" t="s">
        <v>177</v>
      </c>
      <c r="E11" s="80"/>
      <c r="N11">
        <v>0.18</v>
      </c>
      <c r="P11" t="s">
        <v>191</v>
      </c>
    </row>
    <row r="12" spans="1:16" x14ac:dyDescent="0.25">
      <c r="A12" t="s">
        <v>184</v>
      </c>
      <c r="C12" s="78">
        <f>L12</f>
        <v>699.71758620689661</v>
      </c>
      <c r="D12" t="s">
        <v>177</v>
      </c>
      <c r="E12" s="80"/>
      <c r="K12" t="s">
        <v>201</v>
      </c>
      <c r="L12" s="78">
        <f>SUM(L3:L9)</f>
        <v>699.71758620689661</v>
      </c>
      <c r="M12" t="s">
        <v>177</v>
      </c>
    </row>
    <row r="13" spans="1:16" x14ac:dyDescent="0.25">
      <c r="A13" t="s">
        <v>185</v>
      </c>
      <c r="C13" s="80">
        <f>0.017*365</f>
        <v>6.2050000000000001</v>
      </c>
      <c r="E13" s="80"/>
    </row>
    <row r="14" spans="1:16" x14ac:dyDescent="0.25">
      <c r="A14" t="s">
        <v>192</v>
      </c>
      <c r="C14" s="80">
        <v>0</v>
      </c>
      <c r="E14" s="80"/>
    </row>
    <row r="15" spans="1:16" x14ac:dyDescent="0.25">
      <c r="A15" t="s">
        <v>193</v>
      </c>
      <c r="C15" s="80">
        <f>C11-SUM(C12:C14)</f>
        <v>794.07741379310335</v>
      </c>
      <c r="E15" s="80"/>
    </row>
    <row r="16" spans="1:16" x14ac:dyDescent="0.25">
      <c r="C16" s="80"/>
      <c r="E16" s="80"/>
    </row>
    <row r="17" spans="3:5" x14ac:dyDescent="0.25">
      <c r="C17" s="80"/>
      <c r="E17" s="80"/>
    </row>
    <row r="18" spans="3:5" x14ac:dyDescent="0.25">
      <c r="C18" s="80"/>
      <c r="E18" s="80"/>
    </row>
    <row r="19" spans="3:5" x14ac:dyDescent="0.25">
      <c r="E19" s="80"/>
    </row>
    <row r="20" spans="3:5" x14ac:dyDescent="0.25">
      <c r="E20" s="80"/>
    </row>
    <row r="21" spans="3:5" x14ac:dyDescent="0.25">
      <c r="E21" s="80"/>
    </row>
    <row r="22" spans="3:5" x14ac:dyDescent="0.25">
      <c r="E22" s="8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3D1E0-953C-4182-B0A8-03DC429CD447}">
  <dimension ref="A1:X41"/>
  <sheetViews>
    <sheetView zoomScale="70" zoomScaleNormal="70" workbookViewId="0">
      <selection activeCell="K8" sqref="K8:K11"/>
    </sheetView>
  </sheetViews>
  <sheetFormatPr defaultRowHeight="15" x14ac:dyDescent="0.25"/>
  <cols>
    <col min="1" max="2" width="10.42578125" customWidth="1"/>
    <col min="3" max="3" width="13.28515625" customWidth="1"/>
    <col min="4" max="4" width="13.85546875" customWidth="1"/>
    <col min="5" max="5" width="13.5703125" customWidth="1"/>
    <col min="6" max="6" width="25" customWidth="1"/>
    <col min="7" max="7" width="10.42578125" bestFit="1" customWidth="1"/>
    <col min="9" max="9" width="13.7109375" bestFit="1" customWidth="1"/>
    <col min="10" max="10" width="9.7109375" customWidth="1"/>
    <col min="11" max="13" width="11.140625" customWidth="1"/>
    <col min="14" max="14" width="68.42578125" customWidth="1"/>
    <col min="15" max="15" width="26.7109375" customWidth="1"/>
    <col min="16" max="16" width="13.42578125" bestFit="1" customWidth="1"/>
    <col min="17" max="17" width="12.7109375" bestFit="1" customWidth="1"/>
    <col min="18" max="18" width="13.7109375" customWidth="1"/>
    <col min="19" max="19" width="12.85546875" customWidth="1"/>
    <col min="20" max="20" width="13.140625" customWidth="1"/>
    <col min="21" max="21" width="11.42578125" customWidth="1"/>
  </cols>
  <sheetData>
    <row r="1" spans="1:24" ht="45" x14ac:dyDescent="0.25">
      <c r="A1" s="1" t="s">
        <v>47</v>
      </c>
      <c r="B1" s="21" t="s">
        <v>37</v>
      </c>
      <c r="C1" s="21" t="s">
        <v>22</v>
      </c>
      <c r="D1" s="21" t="s">
        <v>19</v>
      </c>
      <c r="E1" s="21" t="s">
        <v>36</v>
      </c>
      <c r="F1" s="5" t="s">
        <v>0</v>
      </c>
      <c r="G1" s="5" t="s">
        <v>1</v>
      </c>
      <c r="H1" s="5" t="s">
        <v>17</v>
      </c>
      <c r="I1" s="5" t="s">
        <v>14</v>
      </c>
      <c r="J1" s="5" t="s">
        <v>53</v>
      </c>
      <c r="K1" s="5" t="s">
        <v>15</v>
      </c>
      <c r="L1" s="5" t="s">
        <v>16</v>
      </c>
      <c r="M1" s="5" t="s">
        <v>18</v>
      </c>
      <c r="N1" s="5" t="s">
        <v>45</v>
      </c>
      <c r="O1" s="3" t="s">
        <v>20</v>
      </c>
      <c r="P1" s="1" t="s">
        <v>54</v>
      </c>
      <c r="Q1" s="1" t="s">
        <v>52</v>
      </c>
      <c r="R1" s="1" t="s">
        <v>46</v>
      </c>
      <c r="S1" s="1" t="s">
        <v>36</v>
      </c>
      <c r="T1" s="1" t="s">
        <v>55</v>
      </c>
      <c r="U1" s="1" t="s">
        <v>66</v>
      </c>
      <c r="V1" s="1" t="s">
        <v>65</v>
      </c>
      <c r="W1" s="1" t="s">
        <v>64</v>
      </c>
      <c r="X1" s="1" t="s">
        <v>67</v>
      </c>
    </row>
    <row r="2" spans="1:24" x14ac:dyDescent="0.25">
      <c r="C2" s="13"/>
      <c r="D2" s="13"/>
      <c r="E2" s="13"/>
      <c r="F2" s="5"/>
      <c r="G2" s="5"/>
      <c r="H2" s="5"/>
      <c r="I2" s="22"/>
      <c r="J2" s="22"/>
      <c r="K2" s="22" t="s">
        <v>51</v>
      </c>
      <c r="L2" s="22"/>
      <c r="M2" s="22"/>
      <c r="N2" s="6" t="s">
        <v>51</v>
      </c>
      <c r="O2" s="3"/>
      <c r="Q2" s="27"/>
      <c r="R2" s="27"/>
      <c r="S2" s="27"/>
      <c r="T2" s="27"/>
      <c r="V2">
        <v>1.02</v>
      </c>
    </row>
    <row r="3" spans="1:24" x14ac:dyDescent="0.25">
      <c r="B3" s="13">
        <f>I3</f>
        <v>7299.6946827327256</v>
      </c>
      <c r="C3" s="13">
        <v>0</v>
      </c>
      <c r="D3" s="13">
        <v>16256</v>
      </c>
      <c r="E3" s="13">
        <v>7171</v>
      </c>
      <c r="F3" s="1" t="s">
        <v>13</v>
      </c>
      <c r="G3" s="1">
        <v>51.2</v>
      </c>
      <c r="H3" s="4">
        <v>-0.64</v>
      </c>
      <c r="I3" s="17">
        <v>7299.6946827327256</v>
      </c>
      <c r="J3" s="35">
        <v>605</v>
      </c>
      <c r="K3" s="8">
        <v>89.210611971564504</v>
      </c>
      <c r="L3" s="8"/>
      <c r="M3" s="8"/>
      <c r="N3" s="6"/>
      <c r="O3" s="3"/>
      <c r="P3" s="17"/>
      <c r="Q3" s="28"/>
      <c r="R3" s="28"/>
      <c r="S3" s="28"/>
      <c r="T3" s="28"/>
    </row>
    <row r="4" spans="1:24" x14ac:dyDescent="0.25">
      <c r="B4" s="13">
        <f t="shared" ref="B4:B11" si="0">I4</f>
        <v>7289.8387218746548</v>
      </c>
      <c r="C4" s="13">
        <v>0</v>
      </c>
      <c r="D4" s="13">
        <v>16256</v>
      </c>
      <c r="E4" s="13">
        <v>7171</v>
      </c>
      <c r="F4" s="1" t="s">
        <v>2</v>
      </c>
      <c r="G4" s="1">
        <v>51.2</v>
      </c>
      <c r="H4" s="4">
        <v>-0.64</v>
      </c>
      <c r="I4" s="17">
        <v>7289.8387218746548</v>
      </c>
      <c r="J4" s="25">
        <v>597</v>
      </c>
      <c r="K4" s="8">
        <v>86.178402067136602</v>
      </c>
      <c r="L4" s="8"/>
      <c r="M4" s="8"/>
      <c r="N4" s="7"/>
      <c r="O4" s="3"/>
      <c r="P4" s="17"/>
      <c r="Q4" s="28"/>
      <c r="R4" s="28"/>
      <c r="S4" s="28"/>
      <c r="T4" s="28"/>
    </row>
    <row r="5" spans="1:24" x14ac:dyDescent="0.25">
      <c r="B5" s="13">
        <f t="shared" si="0"/>
        <v>7293.7383792587862</v>
      </c>
      <c r="C5" s="13">
        <v>0</v>
      </c>
      <c r="D5" s="13">
        <v>16256</v>
      </c>
      <c r="E5" s="13">
        <v>7171</v>
      </c>
      <c r="F5" s="1" t="s">
        <v>3</v>
      </c>
      <c r="G5" s="1">
        <v>51.2</v>
      </c>
      <c r="H5" s="4">
        <v>-0.64</v>
      </c>
      <c r="I5" s="17">
        <v>7293.7383792587862</v>
      </c>
      <c r="J5" s="25">
        <v>589</v>
      </c>
      <c r="K5" s="8">
        <v>88.985719980384602</v>
      </c>
      <c r="L5" s="8"/>
      <c r="M5" s="8"/>
      <c r="N5" s="7"/>
      <c r="O5" s="16"/>
      <c r="P5" s="17"/>
      <c r="Q5" s="28"/>
      <c r="R5" s="28"/>
      <c r="S5" s="28"/>
      <c r="T5" s="28"/>
    </row>
    <row r="6" spans="1:24" x14ac:dyDescent="0.25">
      <c r="B6" s="13">
        <f t="shared" si="0"/>
        <v>7290.089187578802</v>
      </c>
      <c r="C6" s="13">
        <v>0</v>
      </c>
      <c r="D6" s="13">
        <v>16256</v>
      </c>
      <c r="E6" s="13">
        <v>7171</v>
      </c>
      <c r="F6" s="1" t="s">
        <v>4</v>
      </c>
      <c r="G6" s="1">
        <v>51.2</v>
      </c>
      <c r="H6" s="4">
        <v>-0.64</v>
      </c>
      <c r="I6" s="17">
        <v>7290.089187578802</v>
      </c>
      <c r="J6" s="25">
        <v>568</v>
      </c>
      <c r="K6" s="8">
        <v>86.138110180854696</v>
      </c>
      <c r="L6" s="8"/>
      <c r="M6" s="8"/>
      <c r="N6" s="7"/>
      <c r="O6" s="16"/>
      <c r="P6" s="17"/>
      <c r="Q6" s="28"/>
      <c r="R6" s="28"/>
      <c r="S6" s="28"/>
      <c r="T6" s="28"/>
    </row>
    <row r="7" spans="1:24" x14ac:dyDescent="0.25">
      <c r="B7" s="13"/>
      <c r="C7" s="13"/>
      <c r="D7" s="13"/>
      <c r="E7" s="13"/>
      <c r="F7" s="1"/>
      <c r="G7" s="1"/>
      <c r="H7" s="4"/>
      <c r="I7" s="17"/>
      <c r="J7" s="17"/>
      <c r="K7" s="8"/>
      <c r="L7" s="8"/>
      <c r="M7" s="8"/>
      <c r="N7" s="7"/>
      <c r="O7" s="16"/>
      <c r="P7" s="17"/>
      <c r="Q7" s="27"/>
      <c r="R7" s="27"/>
      <c r="S7" s="27"/>
      <c r="T7" s="27"/>
    </row>
    <row r="8" spans="1:24" x14ac:dyDescent="0.25">
      <c r="B8" s="13">
        <f>I8</f>
        <v>5551.8459403411398</v>
      </c>
      <c r="C8" s="13">
        <v>0</v>
      </c>
      <c r="D8" s="13">
        <v>16256</v>
      </c>
      <c r="E8" s="13">
        <v>7171</v>
      </c>
      <c r="F8" s="5" t="s">
        <v>13</v>
      </c>
      <c r="G8" s="1">
        <v>28.5</v>
      </c>
      <c r="H8" s="1">
        <v>-0.36</v>
      </c>
      <c r="I8" s="8">
        <v>5551.8459403411398</v>
      </c>
      <c r="J8">
        <v>494</v>
      </c>
      <c r="K8" s="8">
        <v>70.739398160469094</v>
      </c>
      <c r="L8" s="8"/>
      <c r="M8" s="8"/>
      <c r="N8" s="7"/>
      <c r="O8" s="16"/>
      <c r="P8" s="17"/>
      <c r="Q8" s="28"/>
      <c r="R8" s="28"/>
      <c r="S8" s="28"/>
      <c r="T8" s="28"/>
    </row>
    <row r="9" spans="1:24" x14ac:dyDescent="0.25">
      <c r="B9" s="13">
        <f t="shared" si="0"/>
        <v>5593.67670063883</v>
      </c>
      <c r="C9" s="13">
        <v>0</v>
      </c>
      <c r="D9" s="13">
        <v>16256</v>
      </c>
      <c r="E9" s="13">
        <v>7171</v>
      </c>
      <c r="F9" s="1" t="s">
        <v>2</v>
      </c>
      <c r="G9" s="1">
        <v>28.5</v>
      </c>
      <c r="H9" s="1">
        <v>-0.36</v>
      </c>
      <c r="I9" s="8">
        <v>5593.67670063883</v>
      </c>
      <c r="J9">
        <v>443</v>
      </c>
      <c r="K9" s="8">
        <v>66.436798624185002</v>
      </c>
      <c r="L9" s="8"/>
      <c r="M9" s="8"/>
      <c r="O9" s="16"/>
      <c r="P9" s="17"/>
      <c r="Q9" s="28"/>
      <c r="R9" s="28"/>
      <c r="S9" s="28"/>
      <c r="T9" s="28"/>
    </row>
    <row r="10" spans="1:24" x14ac:dyDescent="0.25">
      <c r="B10" s="13">
        <f>I10</f>
        <v>5534.6619583761003</v>
      </c>
      <c r="C10" s="13">
        <v>0</v>
      </c>
      <c r="D10" s="13">
        <v>16256</v>
      </c>
      <c r="E10" s="13">
        <v>7171</v>
      </c>
      <c r="F10" s="1" t="s">
        <v>3</v>
      </c>
      <c r="G10" s="1">
        <v>28.5</v>
      </c>
      <c r="H10" s="1">
        <v>-0.36</v>
      </c>
      <c r="I10" s="8">
        <v>5534.6619583761003</v>
      </c>
      <c r="J10">
        <v>473</v>
      </c>
      <c r="K10" s="8">
        <v>70.627943704566803</v>
      </c>
      <c r="L10" s="8"/>
      <c r="M10" s="8"/>
      <c r="O10" s="16"/>
      <c r="P10" s="17"/>
      <c r="Q10" s="28"/>
      <c r="R10" s="28"/>
      <c r="S10" s="28"/>
      <c r="T10" s="28"/>
    </row>
    <row r="11" spans="1:24" x14ac:dyDescent="0.25">
      <c r="B11" s="13">
        <f t="shared" si="0"/>
        <v>5591.1349864959402</v>
      </c>
      <c r="C11" s="13">
        <v>0</v>
      </c>
      <c r="D11" s="13">
        <v>16256</v>
      </c>
      <c r="E11" s="13">
        <v>7171</v>
      </c>
      <c r="F11" s="1" t="s">
        <v>4</v>
      </c>
      <c r="G11" s="1">
        <v>28.5</v>
      </c>
      <c r="H11" s="1">
        <v>-0.36</v>
      </c>
      <c r="I11" s="65">
        <v>5591.1349864959402</v>
      </c>
      <c r="J11">
        <v>443</v>
      </c>
      <c r="K11" s="8">
        <v>66.3382106335157</v>
      </c>
      <c r="L11" s="8"/>
      <c r="M11" s="8"/>
      <c r="N11" s="7"/>
      <c r="O11" s="16"/>
      <c r="P11" s="17"/>
      <c r="Q11" s="28"/>
      <c r="R11" s="28"/>
      <c r="S11" s="28"/>
      <c r="T11" s="28"/>
    </row>
    <row r="12" spans="1:24" x14ac:dyDescent="0.25">
      <c r="C12" s="13"/>
      <c r="D12" s="13"/>
      <c r="E12" s="13"/>
      <c r="F12" s="1"/>
      <c r="G12" s="1"/>
      <c r="H12" s="1"/>
      <c r="I12" s="20"/>
      <c r="J12" s="20"/>
      <c r="L12" s="20"/>
      <c r="M12" s="20"/>
      <c r="N12" s="20" t="s">
        <v>48</v>
      </c>
      <c r="O12" s="16"/>
      <c r="Q12" s="11"/>
      <c r="R12" s="11"/>
      <c r="S12" s="11"/>
    </row>
    <row r="13" spans="1:24" x14ac:dyDescent="0.25">
      <c r="A13" s="12">
        <v>4605.47693607564</v>
      </c>
      <c r="B13" s="13">
        <v>7299.6946827327256</v>
      </c>
      <c r="C13" s="13">
        <v>24000</v>
      </c>
      <c r="D13" s="13">
        <v>40256</v>
      </c>
      <c r="E13" s="13">
        <v>24900.817089120232</v>
      </c>
      <c r="F13" s="1" t="s">
        <v>13</v>
      </c>
      <c r="G13" s="1">
        <v>51.2</v>
      </c>
      <c r="H13" s="4">
        <v>-0.64</v>
      </c>
      <c r="I13" s="17">
        <v>20295.34306392436</v>
      </c>
      <c r="J13" s="12">
        <v>1557</v>
      </c>
      <c r="K13" s="17">
        <v>239.211417321748</v>
      </c>
      <c r="L13" s="17">
        <v>4.9599773782331699E-2</v>
      </c>
      <c r="M13" s="17">
        <v>4.3888309080198799E-2</v>
      </c>
      <c r="N13" s="12"/>
      <c r="O13" s="26"/>
      <c r="P13" s="17">
        <f>B13</f>
        <v>7299.6946827327256</v>
      </c>
      <c r="Q13" s="28"/>
      <c r="R13" s="17">
        <f>P13-Q13</f>
        <v>7299.6946827327256</v>
      </c>
      <c r="S13" s="8">
        <v>13474</v>
      </c>
      <c r="T13" s="17">
        <f>IF(R13&gt;0,R13+S13,0)</f>
        <v>20773.694682732727</v>
      </c>
      <c r="U13" s="8">
        <f>S13+X13</f>
        <v>24900.817089120232</v>
      </c>
      <c r="W13">
        <f>R13*(1+Factor_8060)</f>
        <v>9133.032133197079</v>
      </c>
      <c r="X13">
        <f>W13*(1+Factor_8060)</f>
        <v>11426.81708912023</v>
      </c>
    </row>
    <row r="14" spans="1:24" x14ac:dyDescent="0.25">
      <c r="A14" s="12">
        <v>4556.5159441613496</v>
      </c>
      <c r="B14" s="13">
        <v>7289.8387218746548</v>
      </c>
      <c r="C14" s="13">
        <v>24000</v>
      </c>
      <c r="D14" s="13">
        <v>40256</v>
      </c>
      <c r="E14" s="13">
        <v>24885.388736722271</v>
      </c>
      <c r="F14" s="1" t="s">
        <v>2</v>
      </c>
      <c r="G14" s="1">
        <v>51.2</v>
      </c>
      <c r="H14" s="4">
        <v>-0.64</v>
      </c>
      <c r="I14" s="17">
        <v>20328.874055838649</v>
      </c>
      <c r="J14" s="12">
        <v>1486</v>
      </c>
      <c r="K14" s="17">
        <v>233.90828014939299</v>
      </c>
      <c r="L14" s="17">
        <v>7.6094936071717606E-2</v>
      </c>
      <c r="M14" s="17">
        <v>2.7850913912841099E-2</v>
      </c>
      <c r="N14" s="12"/>
      <c r="O14" s="26"/>
      <c r="P14" s="17">
        <f>B14</f>
        <v>7289.8387218746548</v>
      </c>
      <c r="Q14" s="28"/>
      <c r="R14" s="17">
        <f>P14-Q14</f>
        <v>7289.8387218746548</v>
      </c>
      <c r="S14" s="8">
        <v>13474</v>
      </c>
      <c r="T14" s="17">
        <f t="shared" ref="T14:T21" si="1">IF(R14&gt;0,R14+S14,0)</f>
        <v>20763.838721874654</v>
      </c>
      <c r="U14" s="8">
        <f>S14+X14</f>
        <v>24885.388736722271</v>
      </c>
      <c r="W14">
        <f>R14*(1+Factor_8060)</f>
        <v>9120.7008219391955</v>
      </c>
      <c r="X14">
        <f>W14*(1+Factor_8060)</f>
        <v>11411.388736722272</v>
      </c>
    </row>
    <row r="15" spans="1:24" x14ac:dyDescent="0.25">
      <c r="A15" s="17">
        <v>4637.1919375725902</v>
      </c>
      <c r="B15" s="13">
        <v>7293.7383792587862</v>
      </c>
      <c r="C15" s="13">
        <v>24000</v>
      </c>
      <c r="D15" s="13">
        <v>40256</v>
      </c>
      <c r="E15" s="13">
        <v>24891.493193631148</v>
      </c>
      <c r="F15" s="1" t="s">
        <v>3</v>
      </c>
      <c r="G15" s="1">
        <v>51.2</v>
      </c>
      <c r="H15" s="4">
        <v>-0.64</v>
      </c>
      <c r="I15" s="17">
        <v>20254.298062427413</v>
      </c>
      <c r="J15" s="12">
        <v>1506</v>
      </c>
      <c r="K15" s="17">
        <v>238.424115663263</v>
      </c>
      <c r="L15" s="17">
        <v>4.6722674137099497E-2</v>
      </c>
      <c r="M15" s="17">
        <v>4.2761945462689098E-2</v>
      </c>
      <c r="N15" s="12"/>
      <c r="O15" s="26"/>
      <c r="P15" s="17">
        <f>B15</f>
        <v>7293.7383792587862</v>
      </c>
      <c r="Q15" s="28"/>
      <c r="R15" s="17">
        <f>P15-Q15</f>
        <v>7293.7383792587862</v>
      </c>
      <c r="S15" s="8">
        <v>13474</v>
      </c>
      <c r="T15" s="17">
        <f t="shared" si="1"/>
        <v>20767.738379258786</v>
      </c>
      <c r="U15" s="8">
        <f>S15+X15</f>
        <v>24891.493193631148</v>
      </c>
      <c r="W15">
        <f>R15*(1+Factor_8060)</f>
        <v>9125.5798884954966</v>
      </c>
      <c r="X15">
        <f>W15*(1+Factor_8060)</f>
        <v>11417.49319363115</v>
      </c>
    </row>
    <row r="16" spans="1:24" x14ac:dyDescent="0.25">
      <c r="A16" s="12">
        <v>4535.2006728911902</v>
      </c>
      <c r="B16" s="13">
        <v>7290.089187578802</v>
      </c>
      <c r="C16" s="13">
        <v>24000</v>
      </c>
      <c r="D16" s="13">
        <v>40256</v>
      </c>
      <c r="E16" s="13">
        <v>24885.780811447694</v>
      </c>
      <c r="F16" s="1" t="s">
        <v>4</v>
      </c>
      <c r="G16" s="1">
        <v>51.2</v>
      </c>
      <c r="H16" s="4">
        <v>-0.64</v>
      </c>
      <c r="I16" s="17">
        <v>20350.579327108808</v>
      </c>
      <c r="J16" s="12">
        <v>1495</v>
      </c>
      <c r="K16" s="17">
        <v>233.958484350248</v>
      </c>
      <c r="L16" s="13">
        <v>4.7007428024633702E-2</v>
      </c>
      <c r="M16" s="17">
        <v>2.8367447867739901E-2</v>
      </c>
      <c r="N16" s="12"/>
      <c r="O16" s="26"/>
      <c r="P16" s="17">
        <f>B16</f>
        <v>7290.089187578802</v>
      </c>
      <c r="Q16" s="28"/>
      <c r="R16" s="17">
        <f>P16-Q16</f>
        <v>7290.089187578802</v>
      </c>
      <c r="S16" s="8">
        <v>13474</v>
      </c>
      <c r="T16" s="17">
        <f t="shared" si="1"/>
        <v>20764.0891875788</v>
      </c>
      <c r="U16" s="8">
        <f>S16+X16</f>
        <v>24885.780811447694</v>
      </c>
      <c r="W16">
        <f>R16*(1+Factor_8060)</f>
        <v>9121.0141927613549</v>
      </c>
      <c r="X16">
        <f>W16*(1+Factor_8060)</f>
        <v>11411.780811447692</v>
      </c>
    </row>
    <row r="17" spans="1:24" x14ac:dyDescent="0.25">
      <c r="B17" s="13"/>
      <c r="C17" s="13"/>
      <c r="D17" s="13"/>
      <c r="E17" s="13"/>
      <c r="F17" s="1"/>
      <c r="G17" s="1"/>
      <c r="H17" s="4"/>
      <c r="I17" s="17"/>
      <c r="J17" s="17"/>
      <c r="K17" s="17"/>
      <c r="L17" s="17"/>
      <c r="M17" s="17"/>
      <c r="N17" s="7"/>
      <c r="O17" s="16"/>
      <c r="P17" s="17"/>
      <c r="Q17" s="28"/>
      <c r="R17" s="17"/>
      <c r="S17" s="8"/>
      <c r="T17" s="8"/>
    </row>
    <row r="18" spans="1:24" x14ac:dyDescent="0.25">
      <c r="A18" s="17">
        <v>7310.3968173861404</v>
      </c>
      <c r="B18" s="13">
        <v>5551.8459403411398</v>
      </c>
      <c r="C18" s="13">
        <v>24000</v>
      </c>
      <c r="D18" s="13">
        <v>40256</v>
      </c>
      <c r="E18" s="13">
        <v>22164.764590102477</v>
      </c>
      <c r="F18" s="5" t="s">
        <v>13</v>
      </c>
      <c r="G18" s="1">
        <v>28.5</v>
      </c>
      <c r="H18" s="1">
        <v>-0.36</v>
      </c>
      <c r="I18" s="17">
        <v>14854.363182613859</v>
      </c>
      <c r="J18" s="25">
        <v>1205</v>
      </c>
      <c r="K18" s="17">
        <v>181.37114712984399</v>
      </c>
      <c r="L18" s="17">
        <v>4.8191832842715103E-2</v>
      </c>
      <c r="M18" s="17">
        <v>0.102576622143338</v>
      </c>
      <c r="N18" s="7"/>
      <c r="O18" s="26"/>
      <c r="P18" s="17">
        <f>B18</f>
        <v>5551.8459403411398</v>
      </c>
      <c r="Q18" s="28"/>
      <c r="R18" s="17">
        <f t="shared" ref="R18:R21" si="2">P18-Q18</f>
        <v>5551.8459403411398</v>
      </c>
      <c r="S18" s="8">
        <v>13474</v>
      </c>
      <c r="T18" s="17">
        <f t="shared" si="1"/>
        <v>19025.84594034114</v>
      </c>
      <c r="U18" s="8">
        <f>S18+X18</f>
        <v>22164.764590102477</v>
      </c>
      <c r="W18">
        <f>R18*(1+Factor_8060)</f>
        <v>6946.2065984262927</v>
      </c>
      <c r="X18">
        <f>W18*(1+Factor_8060)</f>
        <v>8690.7645901024771</v>
      </c>
    </row>
    <row r="19" spans="1:24" x14ac:dyDescent="0.25">
      <c r="A19" s="12">
        <v>7322.96806038061</v>
      </c>
      <c r="B19" s="13">
        <v>5593.67670063883</v>
      </c>
      <c r="C19" s="13">
        <v>24000</v>
      </c>
      <c r="D19" s="13">
        <v>40256</v>
      </c>
      <c r="E19" s="13">
        <v>22230.245746150169</v>
      </c>
      <c r="F19" s="1" t="s">
        <v>2</v>
      </c>
      <c r="G19" s="1">
        <v>28.5</v>
      </c>
      <c r="H19" s="46">
        <v>-0.36</v>
      </c>
      <c r="I19" s="17">
        <v>14907.28193961939</v>
      </c>
      <c r="J19" s="25">
        <v>1185</v>
      </c>
      <c r="K19" s="17">
        <v>179.94624820609499</v>
      </c>
      <c r="L19" s="30">
        <v>4.7676322756697198E-2</v>
      </c>
      <c r="M19" s="17">
        <v>6.7500812021857995E-2</v>
      </c>
      <c r="N19" s="7"/>
      <c r="O19" s="26"/>
      <c r="P19" s="17">
        <f>B19</f>
        <v>5593.67670063883</v>
      </c>
      <c r="Q19" s="28"/>
      <c r="R19" s="17">
        <f t="shared" si="2"/>
        <v>5593.67670063883</v>
      </c>
      <c r="S19" s="8">
        <v>13474</v>
      </c>
      <c r="T19" s="17">
        <f t="shared" si="1"/>
        <v>19067.676700638829</v>
      </c>
      <c r="U19" s="8">
        <f>S19+X19</f>
        <v>22230.245746150169</v>
      </c>
      <c r="W19">
        <f>R19*(1+Factor_8060)</f>
        <v>6998.5432638019802</v>
      </c>
      <c r="X19">
        <f>W19*(1+Factor_8060)</f>
        <v>8756.2457461501708</v>
      </c>
    </row>
    <row r="20" spans="1:24" x14ac:dyDescent="0.25">
      <c r="A20" s="12">
        <v>7291.9688405672096</v>
      </c>
      <c r="B20" s="13">
        <v>5534.6619583761003</v>
      </c>
      <c r="C20" s="13">
        <v>24000</v>
      </c>
      <c r="D20" s="13">
        <v>40256</v>
      </c>
      <c r="E20" s="13">
        <v>22137.865078915835</v>
      </c>
      <c r="F20" s="1" t="s">
        <v>3</v>
      </c>
      <c r="G20" s="1">
        <v>28.5</v>
      </c>
      <c r="H20" s="1">
        <v>-0.36</v>
      </c>
      <c r="I20" s="17">
        <v>14845.901159432789</v>
      </c>
      <c r="J20" s="25">
        <v>1173</v>
      </c>
      <c r="K20" s="17">
        <v>182.20412090021199</v>
      </c>
      <c r="L20" s="17">
        <v>4.8598020050817502E-2</v>
      </c>
      <c r="M20" s="17">
        <v>9.9397004728531801E-2</v>
      </c>
      <c r="N20" s="7"/>
      <c r="O20" s="26"/>
      <c r="P20" s="17">
        <f>B20</f>
        <v>5534.6619583761003</v>
      </c>
      <c r="Q20" s="28"/>
      <c r="R20" s="17">
        <f t="shared" si="2"/>
        <v>5534.6619583761003</v>
      </c>
      <c r="S20" s="8">
        <v>13474</v>
      </c>
      <c r="T20" s="17">
        <f t="shared" si="1"/>
        <v>19008.661958376098</v>
      </c>
      <c r="U20" s="8">
        <f>S20+X20</f>
        <v>22137.865078915835</v>
      </c>
      <c r="W20">
        <f>R20*(1+Factor_8060)</f>
        <v>6924.7068143552924</v>
      </c>
      <c r="X20">
        <f>W20*(1+Factor_8060)</f>
        <v>8663.8650789158346</v>
      </c>
    </row>
    <row r="21" spans="1:24" x14ac:dyDescent="0.25">
      <c r="A21" s="12">
        <v>7333.2208402665801</v>
      </c>
      <c r="B21" s="13">
        <v>5591.1349864959402</v>
      </c>
      <c r="C21" s="13">
        <v>24000</v>
      </c>
      <c r="D21" s="13">
        <v>40256</v>
      </c>
      <c r="E21" s="13">
        <v>22226.266990343804</v>
      </c>
      <c r="F21" s="1" t="s">
        <v>4</v>
      </c>
      <c r="G21" s="1">
        <v>28.5</v>
      </c>
      <c r="H21" s="46">
        <v>-0.36</v>
      </c>
      <c r="I21" s="17">
        <v>14893.04915973342</v>
      </c>
      <c r="J21" s="25">
        <v>1181</v>
      </c>
      <c r="K21" s="17">
        <v>179.02646265070101</v>
      </c>
      <c r="L21" s="30">
        <v>4.7641023629500401E-2</v>
      </c>
      <c r="M21" s="17">
        <v>7.6698238636713004E-2</v>
      </c>
      <c r="N21" s="7"/>
      <c r="O21" s="26"/>
      <c r="P21" s="17">
        <f>B21</f>
        <v>5591.1349864959402</v>
      </c>
      <c r="Q21" s="28"/>
      <c r="R21" s="17">
        <f t="shared" si="2"/>
        <v>5591.1349864959402</v>
      </c>
      <c r="S21" s="8">
        <v>13474</v>
      </c>
      <c r="T21" s="17">
        <f t="shared" si="1"/>
        <v>19065.134986495941</v>
      </c>
      <c r="U21" s="8">
        <f>S21+X21</f>
        <v>22226.266990343804</v>
      </c>
      <c r="W21">
        <f>R21*(1+Factor_8060)</f>
        <v>6995.3631914908292</v>
      </c>
      <c r="X21">
        <f>W21*(1+Factor_8060)</f>
        <v>8752.2669903438036</v>
      </c>
    </row>
    <row r="22" spans="1:24" x14ac:dyDescent="0.25">
      <c r="C22" s="13"/>
      <c r="D22" s="13"/>
      <c r="E22" s="13"/>
      <c r="F22" s="1"/>
      <c r="G22" s="1"/>
      <c r="H22" s="1"/>
      <c r="I22" s="20"/>
      <c r="J22" s="20"/>
      <c r="L22" s="20"/>
      <c r="M22" s="23"/>
      <c r="N22" s="20" t="s">
        <v>49</v>
      </c>
      <c r="O22" s="16"/>
      <c r="P22" s="17"/>
      <c r="Q22" s="8"/>
      <c r="R22" s="17"/>
      <c r="S22" s="8"/>
      <c r="T22" s="8"/>
    </row>
    <row r="23" spans="1:24" s="12" customFormat="1" x14ac:dyDescent="0.25">
      <c r="A23" s="63">
        <v>7416.0907633998004</v>
      </c>
      <c r="B23" s="13">
        <v>7299.6946827327256</v>
      </c>
      <c r="C23" s="13">
        <v>24000</v>
      </c>
      <c r="D23" s="13">
        <v>40256</v>
      </c>
      <c r="E23" s="13">
        <v>28920.208589928017</v>
      </c>
      <c r="F23" s="1" t="s">
        <v>13</v>
      </c>
      <c r="G23" s="1">
        <v>51.2</v>
      </c>
      <c r="H23" s="4">
        <v>-0.64</v>
      </c>
      <c r="I23" s="63">
        <v>21504.1192366002</v>
      </c>
      <c r="J23" s="64">
        <v>1638</v>
      </c>
      <c r="K23" s="63">
        <v>253.22282913092499</v>
      </c>
      <c r="L23" s="63">
        <v>3.1657113013366198E-2</v>
      </c>
      <c r="M23" s="63">
        <v>3.50856419486422E-2</v>
      </c>
      <c r="O23" s="26"/>
      <c r="P23" s="33">
        <f>B23</f>
        <v>7299.6946827327256</v>
      </c>
      <c r="Q23" s="33">
        <f>A13</f>
        <v>4605.47693607564</v>
      </c>
      <c r="R23" s="33">
        <f>P23-Q23</f>
        <v>2694.2177466570856</v>
      </c>
      <c r="S23" s="33">
        <f>E13</f>
        <v>24900.817089120232</v>
      </c>
      <c r="T23" s="33">
        <f t="shared" ref="T23:T31" si="3">R23+S23</f>
        <v>27595.034835777318</v>
      </c>
      <c r="U23" s="33">
        <f>S23+X23</f>
        <v>28920.208589928017</v>
      </c>
      <c r="V23" s="33"/>
      <c r="W23" s="31">
        <f t="shared" ref="W23:W31" si="4">R23*(1+Factor8061)</f>
        <v>3290.7622084008131</v>
      </c>
      <c r="X23" s="32">
        <f t="shared" ref="X23:X31" si="5">W23*(1+Factor8061)</f>
        <v>4019.3915008077865</v>
      </c>
    </row>
    <row r="24" spans="1:24" s="12" customFormat="1" x14ac:dyDescent="0.25">
      <c r="A24" s="63">
        <v>7446.3166406761102</v>
      </c>
      <c r="B24" s="13">
        <v>7289.8387218746548</v>
      </c>
      <c r="C24" s="13">
        <v>24000</v>
      </c>
      <c r="D24" s="13">
        <v>40256</v>
      </c>
      <c r="E24" s="13">
        <v>28963.119408393741</v>
      </c>
      <c r="F24" s="1" t="s">
        <v>2</v>
      </c>
      <c r="G24" s="1">
        <v>51.2</v>
      </c>
      <c r="H24" s="4">
        <v>-0.64</v>
      </c>
      <c r="I24" s="63">
        <v>21516.803359323887</v>
      </c>
      <c r="J24" s="64">
        <v>1563</v>
      </c>
      <c r="K24" s="63">
        <v>250.96730007319999</v>
      </c>
      <c r="L24" s="63">
        <v>4.63072172520907E-2</v>
      </c>
      <c r="M24" s="63">
        <v>5.3192951606558401E-3</v>
      </c>
      <c r="O24" s="26"/>
      <c r="P24" s="33">
        <f>B24</f>
        <v>7289.8387218746548</v>
      </c>
      <c r="Q24" s="33">
        <f>A14</f>
        <v>4556.5159441613496</v>
      </c>
      <c r="R24" s="33">
        <f>P24-Q24</f>
        <v>2733.3227777133052</v>
      </c>
      <c r="S24" s="33">
        <f t="shared" ref="S24:S31" si="6">E14</f>
        <v>24885.388736722271</v>
      </c>
      <c r="T24" s="33">
        <f t="shared" si="3"/>
        <v>27618.711514435578</v>
      </c>
      <c r="U24" s="33">
        <f>S24+X24</f>
        <v>28963.119408393741</v>
      </c>
      <c r="V24" s="33"/>
      <c r="W24" s="31">
        <f t="shared" si="4"/>
        <v>3338.5257414403445</v>
      </c>
      <c r="X24" s="32">
        <f t="shared" si="5"/>
        <v>4077.7306716714688</v>
      </c>
    </row>
    <row r="25" spans="1:24" s="12" customFormat="1" x14ac:dyDescent="0.25">
      <c r="A25" s="64">
        <v>7345.9174552553304</v>
      </c>
      <c r="B25" s="13">
        <v>7293.7383792587862</v>
      </c>
      <c r="C25" s="13">
        <v>24000</v>
      </c>
      <c r="D25" s="13">
        <v>40256</v>
      </c>
      <c r="E25" s="13">
        <v>28854.684439944951</v>
      </c>
      <c r="F25" s="1" t="s">
        <v>3</v>
      </c>
      <c r="G25" s="1">
        <v>51.2</v>
      </c>
      <c r="H25" s="4">
        <v>-0.64</v>
      </c>
      <c r="I25" s="63">
        <v>21508.76254474467</v>
      </c>
      <c r="J25" s="64">
        <v>1617</v>
      </c>
      <c r="K25" s="63">
        <v>252.84026141458801</v>
      </c>
      <c r="L25" s="63">
        <v>5.9154455949459998E-2</v>
      </c>
      <c r="M25" s="63">
        <v>3.8554906218105603E-2</v>
      </c>
      <c r="O25" s="26"/>
      <c r="P25" s="33">
        <f>B25</f>
        <v>7293.7383792587862</v>
      </c>
      <c r="Q25" s="33">
        <f>A15</f>
        <v>4637.1919375725902</v>
      </c>
      <c r="R25" s="33">
        <f>P25-Q25</f>
        <v>2656.546441686196</v>
      </c>
      <c r="S25" s="33">
        <f t="shared" si="6"/>
        <v>24891.493193631148</v>
      </c>
      <c r="T25" s="33">
        <f t="shared" si="3"/>
        <v>27548.039635317342</v>
      </c>
      <c r="U25" s="33">
        <f>S25+X25</f>
        <v>28854.684439944951</v>
      </c>
      <c r="V25" s="33"/>
      <c r="W25" s="31">
        <f t="shared" si="4"/>
        <v>3244.7498521637713</v>
      </c>
      <c r="X25" s="32">
        <f t="shared" si="5"/>
        <v>3963.1912463138037</v>
      </c>
    </row>
    <row r="26" spans="1:24" s="12" customFormat="1" x14ac:dyDescent="0.25">
      <c r="A26" s="63">
        <v>7425.6767490524999</v>
      </c>
      <c r="B26" s="13">
        <v>7290.089187578802</v>
      </c>
      <c r="C26" s="13">
        <v>24000</v>
      </c>
      <c r="D26" s="13">
        <v>40256</v>
      </c>
      <c r="E26" s="13">
        <v>28995.684509969251</v>
      </c>
      <c r="F26" s="1" t="s">
        <v>4</v>
      </c>
      <c r="G26" s="1">
        <v>51.2</v>
      </c>
      <c r="H26" s="4">
        <v>-0.64</v>
      </c>
      <c r="I26" s="63">
        <v>21570.003250947499</v>
      </c>
      <c r="J26" s="64">
        <v>1592</v>
      </c>
      <c r="K26" s="63">
        <v>251.56276052639001</v>
      </c>
      <c r="L26" s="63">
        <v>4.80275518193976E-2</v>
      </c>
      <c r="M26" s="63">
        <v>6.1829169960109101E-3</v>
      </c>
      <c r="O26" s="26"/>
      <c r="P26" s="33">
        <f>B26</f>
        <v>7290.089187578802</v>
      </c>
      <c r="Q26" s="33">
        <f>A16</f>
        <v>4535.2006728911902</v>
      </c>
      <c r="R26" s="33">
        <f>P26-Q26</f>
        <v>2754.8885146876119</v>
      </c>
      <c r="S26" s="33">
        <f t="shared" si="6"/>
        <v>24885.780811447694</v>
      </c>
      <c r="T26" s="33">
        <f t="shared" si="3"/>
        <v>27640.669326135307</v>
      </c>
      <c r="U26" s="33">
        <f>S26+X26</f>
        <v>28995.684509969251</v>
      </c>
      <c r="V26" s="33"/>
      <c r="W26" s="31">
        <f t="shared" si="4"/>
        <v>3364.8664900006324</v>
      </c>
      <c r="X26" s="32">
        <f t="shared" si="5"/>
        <v>4109.903698521558</v>
      </c>
    </row>
    <row r="27" spans="1:24" x14ac:dyDescent="0.25">
      <c r="B27" s="13"/>
      <c r="C27" s="13"/>
      <c r="D27" s="13"/>
      <c r="E27" s="13"/>
      <c r="F27" s="1"/>
      <c r="G27" s="1"/>
      <c r="H27" s="4"/>
      <c r="I27" s="17"/>
      <c r="J27" s="17"/>
      <c r="K27" s="17"/>
      <c r="L27" s="17"/>
      <c r="M27" s="17"/>
      <c r="O27" s="16"/>
      <c r="P27" s="33"/>
      <c r="Q27" s="34"/>
      <c r="R27" s="33"/>
      <c r="S27" s="34"/>
      <c r="T27" s="33"/>
      <c r="U27" s="34"/>
      <c r="V27" s="34"/>
      <c r="W27" s="31">
        <f t="shared" si="4"/>
        <v>0</v>
      </c>
      <c r="X27" s="32">
        <f t="shared" si="5"/>
        <v>0</v>
      </c>
    </row>
    <row r="28" spans="1:24" x14ac:dyDescent="0.25">
      <c r="A28" s="17">
        <v>5664.4376678169501</v>
      </c>
      <c r="B28" s="13">
        <v>5551.8459403411398</v>
      </c>
      <c r="C28" s="13">
        <v>24000</v>
      </c>
      <c r="D28" s="13">
        <v>40256</v>
      </c>
      <c r="E28" s="13">
        <v>20016.841403526294</v>
      </c>
      <c r="F28" s="5" t="s">
        <v>13</v>
      </c>
      <c r="G28" s="1">
        <v>28.5</v>
      </c>
      <c r="H28" s="1">
        <v>-0.36</v>
      </c>
      <c r="I28" s="13">
        <v>14352.40233218305</v>
      </c>
      <c r="J28" s="14">
        <v>1145</v>
      </c>
      <c r="K28" s="13">
        <v>173.12768288435399</v>
      </c>
      <c r="L28" s="13">
        <v>4.9032548226234297E-2</v>
      </c>
      <c r="M28" s="17">
        <v>8.7623380620327596E-2</v>
      </c>
      <c r="N28" s="6"/>
      <c r="O28" s="7"/>
      <c r="P28" s="33">
        <f>B28</f>
        <v>5551.8459403411398</v>
      </c>
      <c r="Q28" s="34">
        <f>A18</f>
        <v>7310.3968173861404</v>
      </c>
      <c r="R28" s="33">
        <f t="shared" ref="R28:R31" si="7">P28-Q28</f>
        <v>-1758.5508770450006</v>
      </c>
      <c r="S28" s="34">
        <f t="shared" si="6"/>
        <v>22164.764590102477</v>
      </c>
      <c r="T28" s="33">
        <f t="shared" si="3"/>
        <v>20406.213713057477</v>
      </c>
      <c r="U28" s="34">
        <f>S28+W28</f>
        <v>20016.841403526294</v>
      </c>
      <c r="V28" s="34"/>
      <c r="W28" s="31">
        <f t="shared" si="4"/>
        <v>-2147.9231865761835</v>
      </c>
      <c r="X28" s="32">
        <f t="shared" si="5"/>
        <v>-2623.5089787018583</v>
      </c>
    </row>
    <row r="29" spans="1:24" x14ac:dyDescent="0.25">
      <c r="A29" s="17">
        <v>5357.52604104901</v>
      </c>
      <c r="B29" s="13">
        <v>5593.67670063883</v>
      </c>
      <c r="C29" s="13">
        <v>24000</v>
      </c>
      <c r="D29" s="13">
        <v>40256</v>
      </c>
      <c r="E29" s="13">
        <v>19650.387825464026</v>
      </c>
      <c r="F29" s="1" t="s">
        <v>2</v>
      </c>
      <c r="G29" s="1">
        <v>28.5</v>
      </c>
      <c r="H29" s="46">
        <v>-0.36</v>
      </c>
      <c r="I29" s="13">
        <v>14292.863958950989</v>
      </c>
      <c r="J29" s="14">
        <v>1133</v>
      </c>
      <c r="K29" s="13">
        <v>172.38124259202601</v>
      </c>
      <c r="L29" s="30">
        <v>4.8073657942859303E-2</v>
      </c>
      <c r="M29" s="17">
        <v>6.1467326340243801E-2</v>
      </c>
      <c r="N29" s="7"/>
      <c r="O29" s="7"/>
      <c r="P29" s="33">
        <f>B29</f>
        <v>5593.67670063883</v>
      </c>
      <c r="Q29" s="34">
        <f t="shared" ref="Q29:Q31" si="8">A19</f>
        <v>7322.96806038061</v>
      </c>
      <c r="R29" s="33">
        <f t="shared" si="7"/>
        <v>-1729.2913597417801</v>
      </c>
      <c r="S29" s="34">
        <f t="shared" si="6"/>
        <v>22230.245746150169</v>
      </c>
      <c r="T29" s="33">
        <f t="shared" si="3"/>
        <v>20500.95438640839</v>
      </c>
      <c r="U29" s="34">
        <f>S29+X29</f>
        <v>19650.387825464026</v>
      </c>
      <c r="V29" s="34"/>
      <c r="W29" s="31">
        <f t="shared" si="4"/>
        <v>-2112.1851272092463</v>
      </c>
      <c r="X29" s="32">
        <f t="shared" si="5"/>
        <v>-2579.8579206861418</v>
      </c>
    </row>
    <row r="30" spans="1:24" x14ac:dyDescent="0.25">
      <c r="A30" s="17">
        <v>5295.0149182691102</v>
      </c>
      <c r="B30" s="13">
        <v>5534.6619583761003</v>
      </c>
      <c r="C30" s="13">
        <v>24000</v>
      </c>
      <c r="D30" s="13">
        <v>40256</v>
      </c>
      <c r="E30" s="13">
        <v>19516.211964443577</v>
      </c>
      <c r="F30" s="1" t="s">
        <v>3</v>
      </c>
      <c r="G30" s="1">
        <v>28.5</v>
      </c>
      <c r="H30" s="1">
        <v>-0.36</v>
      </c>
      <c r="I30" s="13">
        <v>14221.19508173089</v>
      </c>
      <c r="J30" s="14">
        <v>1116</v>
      </c>
      <c r="K30" s="13">
        <v>172.26138500123801</v>
      </c>
      <c r="L30" s="13">
        <v>4.9459309992373302E-2</v>
      </c>
      <c r="M30" s="17">
        <v>0.100749810239324</v>
      </c>
      <c r="N30" s="7"/>
      <c r="O30" s="7"/>
      <c r="P30" s="33">
        <f>B30</f>
        <v>5534.6619583761003</v>
      </c>
      <c r="Q30" s="34">
        <f t="shared" si="8"/>
        <v>7291.9688405672096</v>
      </c>
      <c r="R30" s="33">
        <f t="shared" si="7"/>
        <v>-1757.3068821911093</v>
      </c>
      <c r="S30" s="34">
        <f t="shared" si="6"/>
        <v>22137.865078915835</v>
      </c>
      <c r="T30" s="33">
        <f t="shared" si="3"/>
        <v>20380.558196724727</v>
      </c>
      <c r="U30" s="34">
        <f>S30+X30</f>
        <v>19516.211964443577</v>
      </c>
      <c r="V30" s="34"/>
      <c r="W30" s="31">
        <f t="shared" si="4"/>
        <v>-2146.4037506442846</v>
      </c>
      <c r="X30" s="32">
        <f t="shared" si="5"/>
        <v>-2621.6531144722567</v>
      </c>
    </row>
    <row r="31" spans="1:24" x14ac:dyDescent="0.25">
      <c r="A31" s="17">
        <v>5346.3720838871004</v>
      </c>
      <c r="B31" s="13">
        <v>5591.1349864959402</v>
      </c>
      <c r="C31" s="13">
        <v>24000</v>
      </c>
      <c r="D31" s="13">
        <v>40256</v>
      </c>
      <c r="E31" s="13">
        <v>19627.321495677963</v>
      </c>
      <c r="F31" s="1" t="s">
        <v>4</v>
      </c>
      <c r="G31" s="1">
        <v>28.5</v>
      </c>
      <c r="H31" s="46">
        <v>-0.36</v>
      </c>
      <c r="I31" s="13">
        <v>14280.947916112898</v>
      </c>
      <c r="J31" s="14">
        <v>1125</v>
      </c>
      <c r="K31" s="13">
        <v>171.55615506644199</v>
      </c>
      <c r="L31" s="30">
        <v>4.8657817390108798E-2</v>
      </c>
      <c r="M31" s="17">
        <v>5.9587355312720303E-2</v>
      </c>
      <c r="N31" s="7"/>
      <c r="O31" s="7"/>
      <c r="P31" s="33">
        <f>B31</f>
        <v>5591.1349864959402</v>
      </c>
      <c r="Q31" s="34">
        <f t="shared" si="8"/>
        <v>7333.2208402665801</v>
      </c>
      <c r="R31" s="33">
        <f t="shared" si="7"/>
        <v>-1742.0858537706399</v>
      </c>
      <c r="S31" s="34">
        <f t="shared" si="6"/>
        <v>22226.266990343804</v>
      </c>
      <c r="T31" s="33">
        <f t="shared" si="3"/>
        <v>20484.181136573163</v>
      </c>
      <c r="U31" s="34">
        <f>S31+X31</f>
        <v>19627.321495677963</v>
      </c>
      <c r="V31" s="34"/>
      <c r="W31" s="31">
        <f t="shared" si="4"/>
        <v>-2127.8125342657186</v>
      </c>
      <c r="X31" s="32">
        <f t="shared" si="5"/>
        <v>-2598.9454946658407</v>
      </c>
    </row>
    <row r="32" spans="1:24" x14ac:dyDescent="0.25">
      <c r="N32" t="s">
        <v>50</v>
      </c>
    </row>
    <row r="33" spans="1:24" x14ac:dyDescent="0.25">
      <c r="B33" s="13">
        <v>7299.6946827327256</v>
      </c>
      <c r="C33" s="13">
        <v>24000</v>
      </c>
      <c r="D33" s="13">
        <v>40256</v>
      </c>
      <c r="E33" s="13">
        <v>28746.562113899468</v>
      </c>
      <c r="F33" s="1" t="s">
        <v>13</v>
      </c>
      <c r="G33" s="1">
        <v>51.2</v>
      </c>
      <c r="H33" s="4">
        <v>-0.64</v>
      </c>
      <c r="P33" s="33">
        <f>B33</f>
        <v>7299.6946827327256</v>
      </c>
      <c r="Q33" s="33">
        <f>A23</f>
        <v>7416.0907633998004</v>
      </c>
      <c r="R33" s="33">
        <f>P33-Q33</f>
        <v>-116.39608066707478</v>
      </c>
      <c r="S33" s="33">
        <f>E23</f>
        <v>28920.208589928017</v>
      </c>
      <c r="T33" s="33">
        <f t="shared" ref="T33:T36" si="9">R33+S33</f>
        <v>28803.812509260941</v>
      </c>
      <c r="U33" s="33">
        <f>S33+X33</f>
        <v>28746.562113899468</v>
      </c>
      <c r="V33" s="33"/>
      <c r="W33" s="31">
        <f t="shared" ref="W33:W41" si="10">R33*(1+Factor8061)</f>
        <v>-142.16810201790037</v>
      </c>
      <c r="X33" s="32">
        <f t="shared" ref="X33:X41" si="11">W33*(1+Factor8061)</f>
        <v>-173.64647602854788</v>
      </c>
    </row>
    <row r="34" spans="1:24" x14ac:dyDescent="0.25">
      <c r="B34" s="13">
        <v>7289.8387218746548</v>
      </c>
      <c r="C34" s="13">
        <v>24000</v>
      </c>
      <c r="D34" s="13">
        <v>40256</v>
      </c>
      <c r="E34" s="13">
        <v>28729.676503611809</v>
      </c>
      <c r="F34" s="1" t="s">
        <v>2</v>
      </c>
      <c r="G34" s="1">
        <v>51.2</v>
      </c>
      <c r="H34" s="4">
        <v>-0.64</v>
      </c>
      <c r="P34" s="33">
        <f>B34</f>
        <v>7289.8387218746548</v>
      </c>
      <c r="Q34" s="33">
        <f>A24</f>
        <v>7446.3166406761102</v>
      </c>
      <c r="R34" s="33">
        <f>P34-Q34</f>
        <v>-156.47791880145542</v>
      </c>
      <c r="S34" s="33">
        <f t="shared" ref="S34:S36" si="12">E24</f>
        <v>28963.119408393741</v>
      </c>
      <c r="T34" s="33">
        <f t="shared" si="9"/>
        <v>28806.641489592286</v>
      </c>
      <c r="U34" s="33">
        <f>S34+X34</f>
        <v>28729.676503611809</v>
      </c>
      <c r="V34" s="33"/>
      <c r="W34" s="31">
        <f t="shared" si="10"/>
        <v>-191.12472341181558</v>
      </c>
      <c r="X34" s="32">
        <f t="shared" si="11"/>
        <v>-233.44290478193176</v>
      </c>
    </row>
    <row r="35" spans="1:24" x14ac:dyDescent="0.25">
      <c r="B35" s="13">
        <v>7293.7383792587862</v>
      </c>
      <c r="C35" s="13">
        <v>24000</v>
      </c>
      <c r="D35" s="13">
        <v>40256</v>
      </c>
      <c r="E35" s="13">
        <v>28776.840644713204</v>
      </c>
      <c r="F35" s="1" t="s">
        <v>3</v>
      </c>
      <c r="G35" s="1">
        <v>51.2</v>
      </c>
      <c r="H35" s="4">
        <v>-0.64</v>
      </c>
      <c r="P35" s="33">
        <f>B35</f>
        <v>7293.7383792587862</v>
      </c>
      <c r="Q35" s="33">
        <f>A25</f>
        <v>7345.9174552553304</v>
      </c>
      <c r="R35" s="33">
        <f>P35-Q35</f>
        <v>-52.17907599654427</v>
      </c>
      <c r="S35" s="33">
        <f t="shared" si="12"/>
        <v>28854.684439944951</v>
      </c>
      <c r="T35" s="33">
        <f t="shared" si="9"/>
        <v>28802.505363948407</v>
      </c>
      <c r="U35" s="33">
        <f>S35+X35</f>
        <v>28776.840644713204</v>
      </c>
      <c r="V35" s="33"/>
      <c r="W35" s="31">
        <f t="shared" si="10"/>
        <v>-63.732388212405546</v>
      </c>
      <c r="X35" s="32">
        <f t="shared" si="11"/>
        <v>-77.843795231747237</v>
      </c>
    </row>
    <row r="36" spans="1:24" x14ac:dyDescent="0.25">
      <c r="B36" s="13">
        <v>7290.089187578802</v>
      </c>
      <c r="C36" s="13">
        <v>24000</v>
      </c>
      <c r="D36" s="13">
        <v>40256</v>
      </c>
      <c r="E36" s="13">
        <v>28793.407061207425</v>
      </c>
      <c r="F36" s="1" t="s">
        <v>4</v>
      </c>
      <c r="G36" s="1">
        <v>51.2</v>
      </c>
      <c r="H36" s="4">
        <v>-0.64</v>
      </c>
      <c r="P36" s="33">
        <f>B36</f>
        <v>7290.089187578802</v>
      </c>
      <c r="Q36" s="33">
        <f>A26</f>
        <v>7425.6767490524999</v>
      </c>
      <c r="R36" s="33">
        <f>P36-Q36</f>
        <v>-135.58756147369786</v>
      </c>
      <c r="S36" s="33">
        <f t="shared" si="12"/>
        <v>28995.684509969251</v>
      </c>
      <c r="T36" s="33">
        <f t="shared" si="9"/>
        <v>28860.096948495553</v>
      </c>
      <c r="U36" s="33">
        <f>S36+X36</f>
        <v>28793.407061207425</v>
      </c>
      <c r="V36" s="33"/>
      <c r="W36" s="31">
        <f t="shared" si="10"/>
        <v>-165.60889474523108</v>
      </c>
      <c r="X36" s="32">
        <f t="shared" si="11"/>
        <v>-202.27744876182729</v>
      </c>
    </row>
    <row r="37" spans="1:24" x14ac:dyDescent="0.25">
      <c r="B37" s="13"/>
      <c r="C37" s="13"/>
      <c r="D37" s="13"/>
      <c r="E37" s="13"/>
      <c r="F37" s="1"/>
      <c r="G37" s="1"/>
      <c r="H37" s="4"/>
      <c r="P37" s="33"/>
      <c r="Q37" s="34"/>
      <c r="R37" s="33"/>
      <c r="S37" s="34"/>
      <c r="T37" s="33"/>
      <c r="U37" s="34"/>
      <c r="V37" s="34"/>
      <c r="W37" s="31">
        <f t="shared" si="10"/>
        <v>0</v>
      </c>
      <c r="X37" s="32">
        <f t="shared" si="11"/>
        <v>0</v>
      </c>
    </row>
    <row r="38" spans="1:24" x14ac:dyDescent="0.25">
      <c r="A38" s="61">
        <v>5559.2228654472001</v>
      </c>
      <c r="B38" s="13">
        <v>5551.8459403411398</v>
      </c>
      <c r="C38" s="13">
        <v>24000</v>
      </c>
      <c r="D38" s="13">
        <v>40256</v>
      </c>
      <c r="E38" s="44">
        <v>19879.320001547676</v>
      </c>
      <c r="F38" s="5" t="s">
        <v>13</v>
      </c>
      <c r="G38" s="1">
        <v>28.5</v>
      </c>
      <c r="H38" s="1">
        <v>-0.36</v>
      </c>
      <c r="I38" s="60">
        <v>14320.0971345528</v>
      </c>
      <c r="J38" s="62">
        <v>1135</v>
      </c>
      <c r="K38" s="60">
        <v>172.589656777578</v>
      </c>
      <c r="L38" s="60">
        <v>4.2093469938772901E-2</v>
      </c>
      <c r="M38" s="60">
        <v>8.9998010183059501E-2</v>
      </c>
      <c r="P38" s="33">
        <f>B38</f>
        <v>5551.8459403411398</v>
      </c>
      <c r="Q38" s="34">
        <f>A28</f>
        <v>5664.4376678169501</v>
      </c>
      <c r="R38" s="33">
        <f t="shared" ref="R38:R41" si="13">P38-Q38</f>
        <v>-112.59172747581033</v>
      </c>
      <c r="S38" s="34">
        <f t="shared" ref="S38:S41" si="14">E28</f>
        <v>20016.841403526294</v>
      </c>
      <c r="T38" s="33">
        <f t="shared" ref="T38:T41" si="15">R38+S38</f>
        <v>19904.249676050484</v>
      </c>
      <c r="U38" s="34">
        <f>S38+W38</f>
        <v>19879.320001547676</v>
      </c>
      <c r="V38" s="34"/>
      <c r="W38" s="31">
        <f t="shared" si="10"/>
        <v>-137.52140197861971</v>
      </c>
      <c r="X38" s="32">
        <f t="shared" si="11"/>
        <v>-167.97091958845974</v>
      </c>
    </row>
    <row r="39" spans="1:24" x14ac:dyDescent="0.25">
      <c r="A39" s="61">
        <v>5623.03730745544</v>
      </c>
      <c r="B39" s="13">
        <v>5593.67670063883</v>
      </c>
      <c r="C39" s="13">
        <v>24000</v>
      </c>
      <c r="D39" s="13">
        <v>40256</v>
      </c>
      <c r="E39" s="44">
        <v>20002.691181509836</v>
      </c>
      <c r="F39" s="1" t="s">
        <v>2</v>
      </c>
      <c r="G39" s="1">
        <v>28.5</v>
      </c>
      <c r="H39" s="46">
        <v>-0.36</v>
      </c>
      <c r="I39" s="60">
        <v>14379.652692544558</v>
      </c>
      <c r="J39" s="62">
        <v>1142</v>
      </c>
      <c r="K39" s="60">
        <v>173.43162667511899</v>
      </c>
      <c r="L39" s="60">
        <v>4.6520667284692702E-2</v>
      </c>
      <c r="M39" s="60">
        <v>5.6927013706017902E-2</v>
      </c>
      <c r="P39" s="33">
        <f>B39</f>
        <v>5593.67670063883</v>
      </c>
      <c r="Q39" s="34">
        <f t="shared" ref="Q39:Q41" si="16">A29</f>
        <v>5357.52604104901</v>
      </c>
      <c r="R39" s="33">
        <f t="shared" si="13"/>
        <v>236.15065958981995</v>
      </c>
      <c r="S39" s="34">
        <f t="shared" si="14"/>
        <v>19650.387825464026</v>
      </c>
      <c r="T39" s="33">
        <f t="shared" si="15"/>
        <v>19886.538485053847</v>
      </c>
      <c r="U39" s="34">
        <f>S39+X39</f>
        <v>20002.691181509836</v>
      </c>
      <c r="V39" s="34"/>
      <c r="W39" s="31">
        <f t="shared" si="10"/>
        <v>288.43832946736734</v>
      </c>
      <c r="X39" s="32">
        <f t="shared" si="11"/>
        <v>352.30335604581143</v>
      </c>
    </row>
    <row r="40" spans="1:24" x14ac:dyDescent="0.25">
      <c r="A40" s="61">
        <v>5562.55008506988</v>
      </c>
      <c r="B40" s="13">
        <v>5534.6619583761003</v>
      </c>
      <c r="C40" s="13">
        <v>24000</v>
      </c>
      <c r="D40" s="13">
        <v>40256</v>
      </c>
      <c r="E40" s="44">
        <v>19873.731425294482</v>
      </c>
      <c r="F40" s="1" t="s">
        <v>3</v>
      </c>
      <c r="G40" s="1">
        <v>28.5</v>
      </c>
      <c r="H40" s="1">
        <v>-0.36</v>
      </c>
      <c r="I40" s="60">
        <v>14311.179914930119</v>
      </c>
      <c r="J40" s="62">
        <v>1125</v>
      </c>
      <c r="K40" s="60">
        <v>173.699564536938</v>
      </c>
      <c r="L40" s="60">
        <v>2.60941569725168E-2</v>
      </c>
      <c r="M40" s="60">
        <v>9.3209226593926595E-2</v>
      </c>
      <c r="P40" s="33">
        <f>B40</f>
        <v>5534.6619583761003</v>
      </c>
      <c r="Q40" s="34">
        <f t="shared" si="16"/>
        <v>5295.0149182691102</v>
      </c>
      <c r="R40" s="33">
        <f t="shared" si="13"/>
        <v>239.64704010699006</v>
      </c>
      <c r="S40" s="34">
        <f t="shared" si="14"/>
        <v>19516.211964443577</v>
      </c>
      <c r="T40" s="33">
        <f t="shared" si="15"/>
        <v>19755.859004550566</v>
      </c>
      <c r="U40" s="34">
        <f>S40+X40</f>
        <v>19873.731425294482</v>
      </c>
      <c r="V40" s="34"/>
      <c r="W40" s="31">
        <f t="shared" si="10"/>
        <v>292.70886657832222</v>
      </c>
      <c r="X40" s="32">
        <f t="shared" si="11"/>
        <v>357.51946085090395</v>
      </c>
    </row>
    <row r="41" spans="1:24" x14ac:dyDescent="0.25">
      <c r="A41" s="61">
        <v>5625.5175735498697</v>
      </c>
      <c r="B41" s="13">
        <v>5591.1349864959402</v>
      </c>
      <c r="C41" s="13">
        <v>24000</v>
      </c>
      <c r="D41" s="13">
        <v>40256</v>
      </c>
      <c r="E41" s="44">
        <v>19992.473099211005</v>
      </c>
      <c r="F41" s="1" t="s">
        <v>4</v>
      </c>
      <c r="G41" s="1">
        <v>28.5</v>
      </c>
      <c r="H41" s="46">
        <v>-0.36</v>
      </c>
      <c r="I41" s="60">
        <v>14366.952426450131</v>
      </c>
      <c r="J41" s="62">
        <v>1134</v>
      </c>
      <c r="K41" s="60">
        <v>172.59733293070099</v>
      </c>
      <c r="L41" s="60">
        <v>4.8678977419314498E-2</v>
      </c>
      <c r="M41" s="60">
        <v>6.5664497602403393E-2</v>
      </c>
      <c r="P41" s="33">
        <f>B41</f>
        <v>5591.1349864959402</v>
      </c>
      <c r="Q41" s="34">
        <f t="shared" si="16"/>
        <v>5346.3720838871004</v>
      </c>
      <c r="R41" s="33">
        <f t="shared" si="13"/>
        <v>244.76290260883979</v>
      </c>
      <c r="S41" s="34">
        <f t="shared" si="14"/>
        <v>19627.321495677963</v>
      </c>
      <c r="T41" s="33">
        <f t="shared" si="15"/>
        <v>19872.084398286803</v>
      </c>
      <c r="U41" s="34">
        <f>S41+X41</f>
        <v>19992.473099211005</v>
      </c>
      <c r="V41" s="34"/>
      <c r="W41" s="31">
        <f t="shared" si="10"/>
        <v>298.95746582585906</v>
      </c>
      <c r="X41" s="32">
        <f t="shared" si="11"/>
        <v>365.15160353304225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5A8B-D7DA-4A59-A923-3757FFA740CB}">
  <dimension ref="A3:V26"/>
  <sheetViews>
    <sheetView workbookViewId="0">
      <selection activeCell="A22" sqref="A22:A26"/>
    </sheetView>
  </sheetViews>
  <sheetFormatPr defaultRowHeight="15" x14ac:dyDescent="0.25"/>
  <cols>
    <col min="1" max="1" width="11.5703125" customWidth="1"/>
    <col min="2" max="2" width="12" bestFit="1" customWidth="1"/>
    <col min="3" max="3" width="11.28515625" bestFit="1" customWidth="1"/>
    <col min="4" max="4" width="12" bestFit="1" customWidth="1"/>
    <col min="5" max="5" width="11.28515625" bestFit="1" customWidth="1"/>
    <col min="16" max="16" width="12.5703125" customWidth="1"/>
  </cols>
  <sheetData>
    <row r="3" spans="1:22" x14ac:dyDescent="0.25">
      <c r="A3" s="2" t="s">
        <v>68</v>
      </c>
    </row>
    <row r="4" spans="1:22" x14ac:dyDescent="0.25">
      <c r="A4" s="2" t="s">
        <v>71</v>
      </c>
      <c r="B4" s="21" t="s">
        <v>69</v>
      </c>
      <c r="C4" s="21" t="s">
        <v>70</v>
      </c>
      <c r="Q4" s="8"/>
      <c r="R4" s="8"/>
      <c r="S4" s="8"/>
      <c r="T4" s="8"/>
    </row>
    <row r="5" spans="1:22" x14ac:dyDescent="0.25">
      <c r="A5" s="38" t="s">
        <v>72</v>
      </c>
      <c r="B5" s="8">
        <f>'64x6295 (24T)'!I38</f>
        <v>14320.0971345528</v>
      </c>
      <c r="C5" s="8">
        <f>'64x6295 (24T)'!I23</f>
        <v>21504.1192366002</v>
      </c>
      <c r="Q5" s="8"/>
      <c r="S5" s="8"/>
      <c r="T5" s="8"/>
    </row>
    <row r="6" spans="1:22" x14ac:dyDescent="0.25">
      <c r="A6" s="38" t="s">
        <v>73</v>
      </c>
      <c r="B6" s="8">
        <f>'64x6295 (24T)'!I39</f>
        <v>14379.652692544558</v>
      </c>
      <c r="C6" s="8">
        <f>'64x6295 (24T)'!I24</f>
        <v>21516.803359323887</v>
      </c>
      <c r="Q6" s="8"/>
      <c r="S6" s="8"/>
      <c r="T6" s="8"/>
    </row>
    <row r="7" spans="1:22" x14ac:dyDescent="0.25">
      <c r="A7" s="38" t="s">
        <v>74</v>
      </c>
      <c r="B7" s="8">
        <f>'64x6295 (24T)'!I40</f>
        <v>14311.179914930119</v>
      </c>
      <c r="C7" s="8">
        <f>'64x6295 (24T)'!I25</f>
        <v>21508.76254474467</v>
      </c>
      <c r="Q7" s="8"/>
      <c r="R7" s="8"/>
      <c r="S7" s="8"/>
      <c r="T7" s="8"/>
    </row>
    <row r="8" spans="1:22" x14ac:dyDescent="0.25">
      <c r="A8" s="38" t="s">
        <v>75</v>
      </c>
      <c r="B8" s="8">
        <f>'64x6295 (24T)'!I41</f>
        <v>14366.952426450131</v>
      </c>
      <c r="C8" s="8">
        <f>'64x6295 (24T)'!I26</f>
        <v>21570.003250947499</v>
      </c>
    </row>
    <row r="10" spans="1:22" x14ac:dyDescent="0.25">
      <c r="A10" s="72" t="s">
        <v>157</v>
      </c>
      <c r="B10" s="73">
        <v>51.2</v>
      </c>
      <c r="C10" s="73">
        <v>51.2</v>
      </c>
      <c r="D10" s="73">
        <v>51.2</v>
      </c>
      <c r="E10" s="73">
        <v>28.5</v>
      </c>
      <c r="F10" s="73">
        <v>28.5</v>
      </c>
      <c r="G10" s="73">
        <v>28.5</v>
      </c>
      <c r="S10" s="38"/>
      <c r="T10" s="38"/>
      <c r="U10" s="38"/>
      <c r="V10" s="38"/>
    </row>
    <row r="11" spans="1:22" x14ac:dyDescent="0.25">
      <c r="A11" s="72" t="s">
        <v>158</v>
      </c>
      <c r="B11" s="73" t="s">
        <v>155</v>
      </c>
      <c r="C11" s="73" t="s">
        <v>154</v>
      </c>
      <c r="D11" s="73" t="s">
        <v>156</v>
      </c>
      <c r="E11" s="73" t="s">
        <v>155</v>
      </c>
      <c r="F11" s="73" t="s">
        <v>154</v>
      </c>
      <c r="G11" s="73" t="s">
        <v>156</v>
      </c>
      <c r="S11" s="8"/>
      <c r="T11" s="8"/>
      <c r="U11" s="8"/>
      <c r="V11" s="8"/>
    </row>
    <row r="12" spans="1:22" x14ac:dyDescent="0.25">
      <c r="A12" s="72" t="s">
        <v>72</v>
      </c>
      <c r="B12" s="47">
        <f>'64x6295 (24T)'!I23</f>
        <v>21504.1192366002</v>
      </c>
      <c r="C12" s="47">
        <f>'64x6295 (24T)'!A23</f>
        <v>7416.0907633998004</v>
      </c>
      <c r="D12" s="47">
        <f>'64x6295 (24T)'!I3</f>
        <v>7299.6946827327256</v>
      </c>
      <c r="E12" s="47">
        <f>'64x6295 (24T)'!I38</f>
        <v>14320.0971345528</v>
      </c>
      <c r="F12" s="47">
        <f>'64x6295 (24T)'!A38</f>
        <v>5559.2228654472001</v>
      </c>
      <c r="G12" s="47">
        <f>'64x6295 (24T)'!I8</f>
        <v>5551.8459403411398</v>
      </c>
      <c r="S12" s="8"/>
      <c r="T12" s="8"/>
      <c r="U12" s="8"/>
      <c r="V12" s="8"/>
    </row>
    <row r="13" spans="1:22" x14ac:dyDescent="0.25">
      <c r="A13" s="72" t="s">
        <v>73</v>
      </c>
      <c r="B13" s="47">
        <f>'64x6295 (24T)'!I24</f>
        <v>21516.803359323887</v>
      </c>
      <c r="C13" s="47">
        <f>'64x6295 (24T)'!A24</f>
        <v>7446.3166406761102</v>
      </c>
      <c r="D13" s="47">
        <f>'64x6295 (24T)'!I4</f>
        <v>7289.8387218746548</v>
      </c>
      <c r="E13" s="47">
        <f>'64x6295 (24T)'!I39</f>
        <v>14379.652692544558</v>
      </c>
      <c r="F13" s="47">
        <f>'64x6295 (24T)'!A39</f>
        <v>5623.03730745544</v>
      </c>
      <c r="G13" s="47">
        <f>'64x6295 (24T)'!I9</f>
        <v>5593.67670063883</v>
      </c>
      <c r="S13" s="8"/>
      <c r="T13" s="8"/>
      <c r="U13" s="8"/>
      <c r="V13" s="8"/>
    </row>
    <row r="14" spans="1:22" x14ac:dyDescent="0.25">
      <c r="A14" s="72" t="s">
        <v>74</v>
      </c>
      <c r="B14" s="47">
        <f>'64x6295 (24T)'!I25</f>
        <v>21508.76254474467</v>
      </c>
      <c r="C14" s="47">
        <f>'64x6295 (24T)'!A25</f>
        <v>7345.9174552553304</v>
      </c>
      <c r="D14" s="47">
        <f>'64x6295 (24T)'!I5</f>
        <v>7293.7383792587862</v>
      </c>
      <c r="E14" s="47">
        <f>'64x6295 (24T)'!I40</f>
        <v>14311.179914930119</v>
      </c>
      <c r="F14" s="47">
        <f>'64x6295 (24T)'!A40</f>
        <v>5562.55008506988</v>
      </c>
      <c r="G14" s="47">
        <f>'64x6295 (24T)'!I10</f>
        <v>5534.6619583761003</v>
      </c>
      <c r="S14" s="8"/>
      <c r="T14" s="8"/>
      <c r="U14" s="8"/>
      <c r="V14" s="8"/>
    </row>
    <row r="15" spans="1:22" x14ac:dyDescent="0.25">
      <c r="A15" s="72" t="s">
        <v>75</v>
      </c>
      <c r="B15" s="47">
        <f>'64x6295 (24T)'!I26</f>
        <v>21570.003250947499</v>
      </c>
      <c r="C15" s="47">
        <f>'64x6295 (24T)'!A26</f>
        <v>7425.6767490524999</v>
      </c>
      <c r="D15" s="47">
        <f>'64x6295 (24T)'!I6</f>
        <v>7290.089187578802</v>
      </c>
      <c r="E15" s="47">
        <f>'64x6295 (24T)'!I41</f>
        <v>14366.952426450131</v>
      </c>
      <c r="F15" s="47">
        <f>'64x6295 (24T)'!A41</f>
        <v>5625.5175735498697</v>
      </c>
      <c r="G15" s="47">
        <f>'64x6295 (24T)'!I11</f>
        <v>5591.1349864959402</v>
      </c>
    </row>
    <row r="19" spans="1:5" x14ac:dyDescent="0.25">
      <c r="A19" s="2" t="s">
        <v>76</v>
      </c>
    </row>
    <row r="20" spans="1:5" x14ac:dyDescent="0.25">
      <c r="A20" s="74" t="s">
        <v>157</v>
      </c>
      <c r="B20" s="73">
        <v>28.5</v>
      </c>
      <c r="C20" s="73" t="s">
        <v>51</v>
      </c>
      <c r="D20" s="73">
        <v>51.2</v>
      </c>
      <c r="E20" s="73" t="s">
        <v>51</v>
      </c>
    </row>
    <row r="21" spans="1:5" ht="30" x14ac:dyDescent="0.25">
      <c r="B21" s="76" t="s">
        <v>159</v>
      </c>
      <c r="C21" s="76" t="s">
        <v>159</v>
      </c>
      <c r="D21" s="76" t="s">
        <v>159</v>
      </c>
      <c r="E21" s="76" t="s">
        <v>159</v>
      </c>
    </row>
    <row r="22" spans="1:5" x14ac:dyDescent="0.25">
      <c r="A22" s="75" t="s">
        <v>158</v>
      </c>
      <c r="B22" s="76"/>
      <c r="C22" s="76"/>
      <c r="D22" s="76"/>
      <c r="E22" s="76"/>
    </row>
    <row r="23" spans="1:5" x14ac:dyDescent="0.25">
      <c r="A23" s="72" t="s">
        <v>72</v>
      </c>
      <c r="B23" s="34">
        <f>'64x6295 (24T)'!K38</f>
        <v>172.589656777578</v>
      </c>
      <c r="C23" s="34">
        <f>'64x6295 (24T)'!K8</f>
        <v>70.739398160469094</v>
      </c>
      <c r="D23" s="34">
        <f>'64x6295 (24T)'!K23</f>
        <v>253.22282913092499</v>
      </c>
      <c r="E23" s="37">
        <f>'64x6295 (24T)'!K3</f>
        <v>89.210611971564504</v>
      </c>
    </row>
    <row r="24" spans="1:5" x14ac:dyDescent="0.25">
      <c r="A24" s="72" t="s">
        <v>73</v>
      </c>
      <c r="B24" s="34">
        <f>'64x6295 (24T)'!K39</f>
        <v>173.43162667511899</v>
      </c>
      <c r="C24" s="34">
        <f>'64x6295 (24T)'!K9</f>
        <v>66.436798624185002</v>
      </c>
      <c r="D24" s="34">
        <f>'64x6295 (24T)'!K24</f>
        <v>250.96730007319999</v>
      </c>
      <c r="E24" s="37">
        <f>'64x6295 (24T)'!K4</f>
        <v>86.178402067136602</v>
      </c>
    </row>
    <row r="25" spans="1:5" x14ac:dyDescent="0.25">
      <c r="A25" s="72" t="s">
        <v>74</v>
      </c>
      <c r="B25" s="34">
        <f>'64x6295 (24T)'!K40</f>
        <v>173.699564536938</v>
      </c>
      <c r="C25" s="34">
        <f>'64x6295 (24T)'!K10</f>
        <v>70.627943704566803</v>
      </c>
      <c r="D25" s="34">
        <f>'64x6295 (24T)'!K25</f>
        <v>252.84026141458801</v>
      </c>
      <c r="E25" s="37">
        <f>'64x6295 (24T)'!K5</f>
        <v>88.985719980384602</v>
      </c>
    </row>
    <row r="26" spans="1:5" x14ac:dyDescent="0.25">
      <c r="A26" s="72" t="s">
        <v>75</v>
      </c>
      <c r="B26" s="34">
        <f>'64x6295 (24T)'!K41</f>
        <v>172.59733293070099</v>
      </c>
      <c r="C26" s="34">
        <f>'64x6295 (24T)'!K11</f>
        <v>66.3382106335157</v>
      </c>
      <c r="D26" s="34">
        <f>'64x6295 (24T)'!K26</f>
        <v>251.56276052639001</v>
      </c>
      <c r="E26" s="37">
        <f>'64x6295 (24T)'!K6</f>
        <v>86.138110180854696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BE82-99DA-4065-8DF5-2775AC61C30B}">
  <dimension ref="A1:X41"/>
  <sheetViews>
    <sheetView zoomScale="70" zoomScaleNormal="70" workbookViewId="0">
      <selection activeCell="A39" sqref="A39"/>
    </sheetView>
  </sheetViews>
  <sheetFormatPr defaultRowHeight="15" x14ac:dyDescent="0.25"/>
  <cols>
    <col min="1" max="2" width="10.42578125" customWidth="1"/>
    <col min="3" max="3" width="13.28515625" customWidth="1"/>
    <col min="4" max="4" width="13.85546875" customWidth="1"/>
    <col min="5" max="5" width="13.5703125" customWidth="1"/>
    <col min="6" max="6" width="25" customWidth="1"/>
    <col min="7" max="7" width="10.42578125" bestFit="1" customWidth="1"/>
    <col min="9" max="9" width="10.5703125" bestFit="1" customWidth="1"/>
    <col min="10" max="10" width="9.7109375" customWidth="1"/>
    <col min="11" max="13" width="11.140625" customWidth="1"/>
    <col min="14" max="14" width="68.42578125" customWidth="1"/>
    <col min="15" max="15" width="26.7109375" customWidth="1"/>
    <col min="16" max="16" width="13.42578125" bestFit="1" customWidth="1"/>
    <col min="17" max="17" width="12.7109375" bestFit="1" customWidth="1"/>
    <col min="18" max="18" width="13.7109375" customWidth="1"/>
    <col min="19" max="19" width="12.85546875" customWidth="1"/>
    <col min="20" max="20" width="13.140625" customWidth="1"/>
    <col min="21" max="21" width="11.42578125" customWidth="1"/>
  </cols>
  <sheetData>
    <row r="1" spans="1:24" ht="45" x14ac:dyDescent="0.25">
      <c r="A1" s="1" t="s">
        <v>47</v>
      </c>
      <c r="B1" s="21" t="s">
        <v>37</v>
      </c>
      <c r="C1" s="21" t="s">
        <v>22</v>
      </c>
      <c r="D1" s="21" t="s">
        <v>19</v>
      </c>
      <c r="E1" s="21" t="s">
        <v>36</v>
      </c>
      <c r="F1" s="5" t="s">
        <v>0</v>
      </c>
      <c r="G1" s="5" t="s">
        <v>1</v>
      </c>
      <c r="H1" s="5" t="s">
        <v>17</v>
      </c>
      <c r="I1" s="5" t="s">
        <v>14</v>
      </c>
      <c r="J1" s="5" t="s">
        <v>53</v>
      </c>
      <c r="K1" s="5" t="s">
        <v>15</v>
      </c>
      <c r="L1" s="5" t="s">
        <v>16</v>
      </c>
      <c r="M1" s="5" t="s">
        <v>18</v>
      </c>
      <c r="N1" s="5" t="s">
        <v>45</v>
      </c>
      <c r="O1" s="3" t="s">
        <v>20</v>
      </c>
      <c r="P1" s="1" t="s">
        <v>54</v>
      </c>
      <c r="Q1" s="1" t="s">
        <v>52</v>
      </c>
      <c r="R1" s="1" t="s">
        <v>46</v>
      </c>
      <c r="S1" s="1" t="s">
        <v>36</v>
      </c>
      <c r="T1" s="1" t="s">
        <v>55</v>
      </c>
      <c r="U1" s="1" t="s">
        <v>66</v>
      </c>
      <c r="V1" s="1" t="s">
        <v>65</v>
      </c>
      <c r="W1" s="1" t="s">
        <v>64</v>
      </c>
      <c r="X1" s="1" t="s">
        <v>67</v>
      </c>
    </row>
    <row r="2" spans="1:24" x14ac:dyDescent="0.25">
      <c r="C2" s="13"/>
      <c r="D2" s="13"/>
      <c r="E2" s="13"/>
      <c r="F2" s="5"/>
      <c r="G2" s="5"/>
      <c r="H2" s="5"/>
      <c r="I2" s="22"/>
      <c r="J2" s="22"/>
      <c r="K2" s="22" t="s">
        <v>51</v>
      </c>
      <c r="L2" s="22"/>
      <c r="M2" s="22"/>
      <c r="N2" s="6" t="s">
        <v>51</v>
      </c>
      <c r="O2" s="3"/>
      <c r="Q2" s="27"/>
      <c r="R2" s="27"/>
      <c r="S2" s="27"/>
      <c r="T2" s="27"/>
      <c r="V2">
        <v>1.02</v>
      </c>
    </row>
    <row r="3" spans="1:24" x14ac:dyDescent="0.25">
      <c r="B3" s="13">
        <f>I3</f>
        <v>9355.3383829498125</v>
      </c>
      <c r="C3" s="13">
        <v>0</v>
      </c>
      <c r="D3" s="13">
        <v>21017</v>
      </c>
      <c r="E3" s="13">
        <v>9648</v>
      </c>
      <c r="F3" s="1" t="s">
        <v>13</v>
      </c>
      <c r="G3" s="1">
        <v>51.2</v>
      </c>
      <c r="H3" s="4">
        <v>-0.64</v>
      </c>
      <c r="I3" s="17">
        <v>9355.3383829498125</v>
      </c>
      <c r="J3" s="8">
        <v>632</v>
      </c>
      <c r="K3" s="8">
        <v>93.534957786527201</v>
      </c>
      <c r="L3" s="8"/>
      <c r="M3" s="8"/>
      <c r="N3" s="6"/>
      <c r="O3" s="3"/>
      <c r="P3" s="17"/>
      <c r="Q3" s="28"/>
      <c r="R3" s="28"/>
      <c r="S3" s="28"/>
      <c r="T3" s="28"/>
    </row>
    <row r="4" spans="1:24" x14ac:dyDescent="0.25">
      <c r="B4" s="13">
        <f t="shared" ref="B4:B11" si="0">I4</f>
        <v>9408.6607109964589</v>
      </c>
      <c r="C4" s="13">
        <v>0</v>
      </c>
      <c r="D4" s="13">
        <v>21017</v>
      </c>
      <c r="E4" s="13">
        <v>9648</v>
      </c>
      <c r="F4" s="1" t="s">
        <v>2</v>
      </c>
      <c r="G4" s="1">
        <v>51.2</v>
      </c>
      <c r="H4" s="4">
        <v>-0.64</v>
      </c>
      <c r="I4" s="17">
        <v>9408.6607109964589</v>
      </c>
      <c r="J4" s="17">
        <v>623</v>
      </c>
      <c r="K4" s="8">
        <v>90.771386189597195</v>
      </c>
      <c r="L4" s="8"/>
      <c r="M4" s="8"/>
      <c r="N4" s="7"/>
      <c r="O4" s="3"/>
      <c r="P4" s="17"/>
      <c r="Q4" s="28"/>
      <c r="R4" s="28"/>
      <c r="S4" s="28"/>
      <c r="T4" s="28"/>
    </row>
    <row r="5" spans="1:24" x14ac:dyDescent="0.25">
      <c r="B5" s="13">
        <f t="shared" si="0"/>
        <v>9344.5215456123915</v>
      </c>
      <c r="C5" s="13">
        <v>0</v>
      </c>
      <c r="D5" s="13">
        <v>21017</v>
      </c>
      <c r="E5" s="13">
        <v>9648</v>
      </c>
      <c r="F5" s="1" t="s">
        <v>3</v>
      </c>
      <c r="G5" s="1">
        <v>51.2</v>
      </c>
      <c r="H5" s="4">
        <v>-0.64</v>
      </c>
      <c r="I5" s="8">
        <v>9344.5215456123915</v>
      </c>
      <c r="J5" s="8">
        <v>617</v>
      </c>
      <c r="K5" s="8">
        <v>93.288532217004104</v>
      </c>
      <c r="L5" s="8"/>
      <c r="M5" s="8"/>
      <c r="N5" s="7"/>
      <c r="O5" s="16"/>
      <c r="P5" s="17"/>
      <c r="Q5" s="28"/>
      <c r="R5" s="28"/>
      <c r="S5" s="28"/>
      <c r="T5" s="28"/>
    </row>
    <row r="6" spans="1:24" x14ac:dyDescent="0.25">
      <c r="B6" s="13">
        <f t="shared" si="0"/>
        <v>9417.8182813795975</v>
      </c>
      <c r="C6" s="13">
        <v>0</v>
      </c>
      <c r="D6" s="13">
        <v>21017</v>
      </c>
      <c r="E6" s="13">
        <v>9648</v>
      </c>
      <c r="F6" s="1" t="s">
        <v>4</v>
      </c>
      <c r="G6" s="1">
        <v>51.2</v>
      </c>
      <c r="H6" s="4">
        <v>-0.64</v>
      </c>
      <c r="I6" s="17">
        <v>9417.8182813795975</v>
      </c>
      <c r="J6" s="17">
        <v>630</v>
      </c>
      <c r="K6" s="8">
        <v>90.817827249637006</v>
      </c>
      <c r="L6" s="8"/>
      <c r="M6" s="8"/>
      <c r="N6" s="7"/>
      <c r="O6" s="16"/>
      <c r="P6" s="17"/>
      <c r="Q6" s="28"/>
      <c r="R6" s="28"/>
      <c r="S6" s="28"/>
      <c r="T6" s="28"/>
    </row>
    <row r="7" spans="1:24" x14ac:dyDescent="0.25">
      <c r="B7" s="13"/>
      <c r="C7" s="13"/>
      <c r="D7" s="13"/>
      <c r="E7" s="13"/>
      <c r="F7" s="1"/>
      <c r="G7" s="1"/>
      <c r="H7" s="4"/>
      <c r="I7" s="17"/>
      <c r="J7" s="17"/>
      <c r="K7" s="8"/>
      <c r="L7" s="8"/>
      <c r="M7" s="8"/>
      <c r="N7" s="7"/>
      <c r="O7" s="16"/>
      <c r="P7" s="17"/>
      <c r="Q7" s="27"/>
      <c r="R7" s="27"/>
      <c r="S7" s="27"/>
      <c r="T7" s="27"/>
    </row>
    <row r="8" spans="1:24" x14ac:dyDescent="0.25">
      <c r="B8" s="13">
        <f>I8</f>
        <v>7123.3300259836597</v>
      </c>
      <c r="C8" s="13">
        <v>0</v>
      </c>
      <c r="D8" s="13">
        <v>21017</v>
      </c>
      <c r="E8" s="13">
        <v>9648</v>
      </c>
      <c r="F8" s="5" t="s">
        <v>13</v>
      </c>
      <c r="G8" s="1">
        <v>28.5</v>
      </c>
      <c r="H8" s="1">
        <v>-0.36</v>
      </c>
      <c r="I8" s="8">
        <v>7123.3300259836597</v>
      </c>
      <c r="J8" s="8">
        <v>503</v>
      </c>
      <c r="K8" s="8">
        <v>73.989263462492005</v>
      </c>
      <c r="L8" s="8"/>
      <c r="M8" s="8"/>
      <c r="N8" s="7"/>
      <c r="O8" s="16"/>
      <c r="P8" s="17"/>
      <c r="Q8" s="28"/>
      <c r="R8" s="28"/>
      <c r="S8" s="28"/>
      <c r="T8" s="28"/>
    </row>
    <row r="9" spans="1:24" x14ac:dyDescent="0.25">
      <c r="B9" s="13">
        <f t="shared" si="0"/>
        <v>7172.2122603736698</v>
      </c>
      <c r="C9" s="13">
        <v>0</v>
      </c>
      <c r="D9" s="13">
        <v>21017</v>
      </c>
      <c r="E9" s="13">
        <v>9648</v>
      </c>
      <c r="F9" s="1" t="s">
        <v>2</v>
      </c>
      <c r="G9" s="1">
        <v>28.5</v>
      </c>
      <c r="H9" s="1">
        <v>-0.36</v>
      </c>
      <c r="I9" s="8">
        <v>7172.2122603736698</v>
      </c>
      <c r="J9" s="8">
        <v>476</v>
      </c>
      <c r="K9" s="8">
        <v>69.478491863806894</v>
      </c>
      <c r="L9" s="8"/>
      <c r="M9" s="8"/>
      <c r="O9" s="16"/>
      <c r="P9" s="17"/>
      <c r="Q9" s="28"/>
      <c r="R9" s="28"/>
      <c r="S9" s="28"/>
      <c r="T9" s="28"/>
    </row>
    <row r="10" spans="1:24" x14ac:dyDescent="0.25">
      <c r="B10" s="13">
        <f>I10</f>
        <v>7107.9141589435894</v>
      </c>
      <c r="C10" s="13">
        <v>0</v>
      </c>
      <c r="D10" s="13">
        <v>21017</v>
      </c>
      <c r="E10" s="13">
        <v>9648</v>
      </c>
      <c r="F10" s="1" t="s">
        <v>3</v>
      </c>
      <c r="G10" s="1">
        <v>28.5</v>
      </c>
      <c r="H10" s="1">
        <v>-0.36</v>
      </c>
      <c r="I10" s="17">
        <v>7107.9141589435894</v>
      </c>
      <c r="J10" s="17">
        <v>504</v>
      </c>
      <c r="K10" s="8">
        <v>73.922654913523701</v>
      </c>
      <c r="L10" s="8"/>
      <c r="M10" s="8"/>
      <c r="O10" s="16"/>
      <c r="P10" s="17"/>
      <c r="Q10" s="28"/>
      <c r="R10" s="28"/>
      <c r="S10" s="28"/>
      <c r="T10" s="28"/>
    </row>
    <row r="11" spans="1:24" x14ac:dyDescent="0.25">
      <c r="B11" s="13">
        <f t="shared" si="0"/>
        <v>7173.5839751902095</v>
      </c>
      <c r="C11" s="13">
        <v>0</v>
      </c>
      <c r="D11" s="13">
        <v>21017</v>
      </c>
      <c r="E11" s="13">
        <v>9648</v>
      </c>
      <c r="F11" s="1" t="s">
        <v>4</v>
      </c>
      <c r="G11" s="1">
        <v>28.5</v>
      </c>
      <c r="H11" s="1">
        <v>-0.36</v>
      </c>
      <c r="I11" s="8">
        <v>7173.5839751902095</v>
      </c>
      <c r="J11" s="8">
        <v>465</v>
      </c>
      <c r="K11" s="8">
        <v>69.432160181975604</v>
      </c>
      <c r="L11" s="8"/>
      <c r="M11" s="8"/>
      <c r="N11" s="7"/>
      <c r="O11" s="16"/>
      <c r="P11" s="17"/>
      <c r="Q11" s="28"/>
      <c r="R11" s="28"/>
      <c r="S11" s="28"/>
      <c r="T11" s="28"/>
    </row>
    <row r="12" spans="1:24" x14ac:dyDescent="0.25">
      <c r="C12" s="13"/>
      <c r="D12" s="13"/>
      <c r="E12" s="13"/>
      <c r="F12" s="1"/>
      <c r="G12" s="1"/>
      <c r="H12" s="1"/>
      <c r="I12" s="20"/>
      <c r="J12" s="20"/>
      <c r="L12" s="20"/>
      <c r="M12" s="20"/>
      <c r="N12" s="20" t="s">
        <v>48</v>
      </c>
      <c r="O12" s="16"/>
      <c r="Q12" s="11"/>
      <c r="R12" s="11"/>
      <c r="S12" s="11"/>
    </row>
    <row r="13" spans="1:24" x14ac:dyDescent="0.25">
      <c r="A13" s="12">
        <v>7512.85822136754</v>
      </c>
      <c r="B13" s="13">
        <v>9355.3383829498125</v>
      </c>
      <c r="C13" s="13">
        <v>24000</v>
      </c>
      <c r="D13" s="13">
        <v>45017</v>
      </c>
      <c r="E13" s="13">
        <v>30596.686545817753</v>
      </c>
      <c r="F13" s="1" t="s">
        <v>13</v>
      </c>
      <c r="G13" s="1">
        <v>51.2</v>
      </c>
      <c r="H13" s="4">
        <v>-0.64</v>
      </c>
      <c r="I13" s="17">
        <v>23083.831778632459</v>
      </c>
      <c r="J13" s="12">
        <v>1454</v>
      </c>
      <c r="K13" s="17">
        <v>222.841978930555</v>
      </c>
      <c r="L13" s="17">
        <v>4.79403695118392E-2</v>
      </c>
      <c r="M13" s="17">
        <v>3.7515698525973799E-2</v>
      </c>
      <c r="N13" s="12"/>
      <c r="O13" s="26"/>
      <c r="P13" s="17">
        <f>B13</f>
        <v>9355.3383829498125</v>
      </c>
      <c r="Q13" s="28"/>
      <c r="R13" s="17">
        <f>P13-Q13</f>
        <v>9355.3383829498125</v>
      </c>
      <c r="S13" s="8">
        <v>15952</v>
      </c>
      <c r="T13" s="17">
        <f>IF(R13&gt;0,R13+S13,0)</f>
        <v>25307.338382949813</v>
      </c>
      <c r="U13" s="8">
        <f>S13+X13</f>
        <v>30596.686545817753</v>
      </c>
      <c r="W13">
        <f>R13*(1+Factor_8060)</f>
        <v>11704.956136114202</v>
      </c>
      <c r="X13">
        <f>W13*(1+Factor_8060)</f>
        <v>14644.686545817753</v>
      </c>
    </row>
    <row r="14" spans="1:24" x14ac:dyDescent="0.25">
      <c r="A14" s="12">
        <v>7514.1808972961198</v>
      </c>
      <c r="B14" s="13">
        <v>9408.6607109964589</v>
      </c>
      <c r="C14" s="13">
        <v>24000</v>
      </c>
      <c r="D14" s="13">
        <v>45017</v>
      </c>
      <c r="E14" s="13">
        <v>30680.156405289599</v>
      </c>
      <c r="F14" s="1" t="s">
        <v>2</v>
      </c>
      <c r="G14" s="1">
        <v>51.2</v>
      </c>
      <c r="H14" s="4">
        <v>-0.64</v>
      </c>
      <c r="I14" s="17">
        <v>23165.979102703881</v>
      </c>
      <c r="J14" s="12">
        <v>1380</v>
      </c>
      <c r="K14" s="17">
        <v>218.99261854357599</v>
      </c>
      <c r="L14" s="17">
        <v>4.9157099352528599E-2</v>
      </c>
      <c r="M14" s="17">
        <v>4.3284156025565797E-2</v>
      </c>
      <c r="N14" s="12"/>
      <c r="O14" s="26"/>
      <c r="P14" s="17">
        <f>B14</f>
        <v>9408.6607109964589</v>
      </c>
      <c r="Q14" s="28"/>
      <c r="R14" s="17">
        <f>P14-Q14</f>
        <v>9408.6607109964589</v>
      </c>
      <c r="S14" s="8">
        <v>15952</v>
      </c>
      <c r="T14" s="17">
        <f t="shared" ref="T14:T21" si="1">IF(R14&gt;0,R14+S14,0)</f>
        <v>25360.660710996461</v>
      </c>
      <c r="U14" s="8">
        <f>S14+X14</f>
        <v>30680.156405289599</v>
      </c>
      <c r="W14">
        <f>R14*(1+Factor_8060)</f>
        <v>11771.670506595872</v>
      </c>
      <c r="X14">
        <f>W14*(1+Factor_8060)</f>
        <v>14728.156405289601</v>
      </c>
    </row>
    <row r="15" spans="1:24" x14ac:dyDescent="0.25">
      <c r="A15" s="17">
        <v>7462.4109098819899</v>
      </c>
      <c r="B15" s="13">
        <v>9344.5215456123915</v>
      </c>
      <c r="C15" s="13">
        <v>24000</v>
      </c>
      <c r="D15" s="13">
        <v>45017</v>
      </c>
      <c r="E15" s="13">
        <v>30579.754053828758</v>
      </c>
      <c r="F15" s="1" t="s">
        <v>3</v>
      </c>
      <c r="G15" s="1">
        <v>51.2</v>
      </c>
      <c r="H15" s="4">
        <v>-0.64</v>
      </c>
      <c r="I15" s="17">
        <v>23117.33909011801</v>
      </c>
      <c r="J15" s="12">
        <v>1415</v>
      </c>
      <c r="K15" s="17">
        <v>222.904629547414</v>
      </c>
      <c r="L15" s="17">
        <v>4.86786775447395E-2</v>
      </c>
      <c r="M15" s="17">
        <v>3.5675979249548302E-2</v>
      </c>
      <c r="N15" s="12"/>
      <c r="O15" s="26"/>
      <c r="P15" s="17">
        <f>B15</f>
        <v>9344.5215456123915</v>
      </c>
      <c r="Q15" s="28"/>
      <c r="R15" s="17">
        <f>P15-Q15</f>
        <v>9344.5215456123915</v>
      </c>
      <c r="S15" s="8">
        <v>15952</v>
      </c>
      <c r="T15" s="17">
        <f t="shared" si="1"/>
        <v>25296.521545612391</v>
      </c>
      <c r="U15" s="8">
        <f>S15+X15</f>
        <v>30579.754053828758</v>
      </c>
      <c r="W15">
        <f>R15*(1+Factor_8060)</f>
        <v>11691.422621730935</v>
      </c>
      <c r="X15">
        <f>W15*(1+Factor_8060)</f>
        <v>14627.754053828759</v>
      </c>
    </row>
    <row r="16" spans="1:24" x14ac:dyDescent="0.25">
      <c r="A16" s="12">
        <v>7493.2925701709</v>
      </c>
      <c r="B16" s="13">
        <v>9417.8182813795975</v>
      </c>
      <c r="C16" s="13">
        <v>24000</v>
      </c>
      <c r="D16" s="13">
        <v>45017</v>
      </c>
      <c r="E16" s="13">
        <v>30694.491509194206</v>
      </c>
      <c r="F16" s="1" t="s">
        <v>4</v>
      </c>
      <c r="G16" s="1">
        <v>51.2</v>
      </c>
      <c r="H16" s="4">
        <v>-0.64</v>
      </c>
      <c r="I16" s="17">
        <v>23201.197429829102</v>
      </c>
      <c r="J16" s="12">
        <v>1397</v>
      </c>
      <c r="K16" s="12">
        <v>219.13505419254901</v>
      </c>
      <c r="L16" s="13">
        <v>4.8029516900650902E-2</v>
      </c>
      <c r="M16" s="17">
        <v>3.1737409510454999E-2</v>
      </c>
      <c r="N16" s="12"/>
      <c r="O16" s="26"/>
      <c r="P16" s="17">
        <f>B16</f>
        <v>9417.8182813795975</v>
      </c>
      <c r="Q16" s="28"/>
      <c r="R16" s="17">
        <f>P16-Q16</f>
        <v>9417.8182813795975</v>
      </c>
      <c r="S16" s="8">
        <v>15952</v>
      </c>
      <c r="T16" s="17">
        <f t="shared" si="1"/>
        <v>25369.818281379597</v>
      </c>
      <c r="U16" s="8">
        <f>S16+X16</f>
        <v>30694.491509194206</v>
      </c>
      <c r="W16">
        <f>R16*(1+Factor_8060)</f>
        <v>11783.128024780715</v>
      </c>
      <c r="X16">
        <f>W16*(1+Factor_8060)</f>
        <v>14742.491509194206</v>
      </c>
    </row>
    <row r="17" spans="1:24" x14ac:dyDescent="0.25">
      <c r="B17" s="13"/>
      <c r="C17" s="13"/>
      <c r="D17" s="13"/>
      <c r="E17" s="13"/>
      <c r="F17" s="1"/>
      <c r="G17" s="1"/>
      <c r="H17" s="4"/>
      <c r="I17" s="17"/>
      <c r="J17" s="17"/>
      <c r="K17" s="17"/>
      <c r="L17" s="17"/>
      <c r="M17" s="17"/>
      <c r="N17" s="7"/>
      <c r="O17" s="16"/>
      <c r="P17" s="17"/>
      <c r="Q17" s="28"/>
      <c r="R17" s="17"/>
      <c r="S17" s="8"/>
      <c r="T17" s="8"/>
    </row>
    <row r="18" spans="1:24" x14ac:dyDescent="0.25">
      <c r="A18" s="17">
        <v>10250.693601232801</v>
      </c>
      <c r="B18" s="13">
        <v>7123.3300259836597</v>
      </c>
      <c r="C18" s="13">
        <v>24000</v>
      </c>
      <c r="D18" s="13">
        <v>45017</v>
      </c>
      <c r="E18" s="13">
        <v>27102.738874722556</v>
      </c>
      <c r="F18" s="5" t="s">
        <v>13</v>
      </c>
      <c r="G18" s="1">
        <v>28.5</v>
      </c>
      <c r="H18" s="1">
        <v>-0.36</v>
      </c>
      <c r="I18" s="17">
        <v>16852.046398767201</v>
      </c>
      <c r="J18" s="25">
        <v>1087</v>
      </c>
      <c r="K18" s="17">
        <v>163.56399000462201</v>
      </c>
      <c r="L18" s="17">
        <v>4.9592415364751098E-2</v>
      </c>
      <c r="M18" s="17">
        <v>6.7915080354211704E-2</v>
      </c>
      <c r="N18" s="7"/>
      <c r="O18" s="26"/>
      <c r="P18" s="17">
        <f>B18</f>
        <v>7123.3300259836597</v>
      </c>
      <c r="Q18" s="28"/>
      <c r="R18" s="17">
        <f t="shared" ref="R18:R21" si="2">P18-Q18</f>
        <v>7123.3300259836597</v>
      </c>
      <c r="S18" s="8">
        <v>15952</v>
      </c>
      <c r="T18" s="17">
        <f t="shared" si="1"/>
        <v>23075.330025983661</v>
      </c>
      <c r="U18" s="8">
        <f>S18+X18</f>
        <v>27102.738874722556</v>
      </c>
      <c r="W18">
        <f>R18*(1+Factor_8060)</f>
        <v>8912.3730306924663</v>
      </c>
      <c r="X18">
        <f>W18*(1+Factor_8060)</f>
        <v>11150.738874722556</v>
      </c>
    </row>
    <row r="19" spans="1:24" x14ac:dyDescent="0.25">
      <c r="A19" s="17">
        <v>10304.555536718501</v>
      </c>
      <c r="B19" s="13">
        <v>7172.2122603736698</v>
      </c>
      <c r="C19" s="13">
        <v>24000</v>
      </c>
      <c r="D19" s="13">
        <v>45017</v>
      </c>
      <c r="E19" s="13">
        <v>27179.258287596553</v>
      </c>
      <c r="F19" s="1" t="s">
        <v>2</v>
      </c>
      <c r="G19" s="1">
        <v>28.5</v>
      </c>
      <c r="H19" s="46">
        <v>-0.36</v>
      </c>
      <c r="I19" s="17">
        <v>16874.704463281498</v>
      </c>
      <c r="J19" s="25">
        <v>1090</v>
      </c>
      <c r="K19" s="17">
        <v>166.52161099370201</v>
      </c>
      <c r="L19" s="30">
        <v>3.8743827023906302E-2</v>
      </c>
      <c r="M19" s="17">
        <v>5.1051260453387703E-2</v>
      </c>
      <c r="N19" s="7"/>
      <c r="O19" s="26"/>
      <c r="P19" s="17">
        <f>B19</f>
        <v>7172.2122603736698</v>
      </c>
      <c r="Q19" s="28"/>
      <c r="R19" s="17">
        <f t="shared" si="2"/>
        <v>7172.2122603736698</v>
      </c>
      <c r="S19" s="8">
        <v>15952</v>
      </c>
      <c r="T19" s="17">
        <f t="shared" si="1"/>
        <v>23124.212260373672</v>
      </c>
      <c r="U19" s="8">
        <f>S19+X19</f>
        <v>27179.258287596553</v>
      </c>
      <c r="W19">
        <f>R19*(1+Factor_8060)</f>
        <v>8973.5321663591258</v>
      </c>
      <c r="X19">
        <f>W19*(1+Factor_8060)</f>
        <v>11227.258287596555</v>
      </c>
    </row>
    <row r="20" spans="1:24" x14ac:dyDescent="0.25">
      <c r="A20" s="17">
        <v>10255.996603387001</v>
      </c>
      <c r="B20" s="13">
        <v>7107.9141589435894</v>
      </c>
      <c r="C20" s="13">
        <v>24000</v>
      </c>
      <c r="D20" s="13">
        <v>45017</v>
      </c>
      <c r="E20" s="13">
        <v>27078.607140370194</v>
      </c>
      <c r="F20" s="1" t="s">
        <v>3</v>
      </c>
      <c r="G20" s="1">
        <v>28.5</v>
      </c>
      <c r="H20" s="1">
        <v>-0.36</v>
      </c>
      <c r="I20" s="17">
        <v>16822.613396613</v>
      </c>
      <c r="J20" s="25">
        <v>1082</v>
      </c>
      <c r="K20" s="17">
        <v>164.881080232833</v>
      </c>
      <c r="L20" s="17">
        <v>4.9950401675655301E-2</v>
      </c>
      <c r="M20" s="17">
        <v>7.9890714366905299E-2</v>
      </c>
      <c r="N20" s="7"/>
      <c r="O20" s="26"/>
      <c r="P20" s="17">
        <f>B20</f>
        <v>7107.9141589435894</v>
      </c>
      <c r="Q20" s="28"/>
      <c r="R20" s="17">
        <f t="shared" si="2"/>
        <v>7107.9141589435894</v>
      </c>
      <c r="S20" s="8">
        <v>15952</v>
      </c>
      <c r="T20" s="17">
        <f t="shared" si="1"/>
        <v>23059.914158943589</v>
      </c>
      <c r="U20" s="8">
        <f>S20+X20</f>
        <v>27078.607140370194</v>
      </c>
      <c r="W20">
        <f>R20*(1+Factor_8060)</f>
        <v>8893.0854282436831</v>
      </c>
      <c r="X20">
        <f>W20*(1+Factor_8060)</f>
        <v>11126.607140370192</v>
      </c>
    </row>
    <row r="21" spans="1:24" x14ac:dyDescent="0.25">
      <c r="A21" s="17">
        <v>10314.686084020301</v>
      </c>
      <c r="B21" s="13">
        <v>7173.5839751902095</v>
      </c>
      <c r="C21" s="13">
        <v>24000</v>
      </c>
      <c r="D21" s="13">
        <v>45017</v>
      </c>
      <c r="E21" s="13">
        <v>27181.405546487273</v>
      </c>
      <c r="F21" s="1" t="s">
        <v>4</v>
      </c>
      <c r="G21" s="1">
        <v>28.5</v>
      </c>
      <c r="H21" s="46">
        <v>-0.36</v>
      </c>
      <c r="I21" s="17">
        <v>16866.723915979699</v>
      </c>
      <c r="J21" s="25">
        <v>1085</v>
      </c>
      <c r="K21" s="17">
        <v>165.720822090312</v>
      </c>
      <c r="L21" s="30">
        <v>4.86494999183519E-2</v>
      </c>
      <c r="M21" s="17">
        <v>5.5032915138205497E-2</v>
      </c>
      <c r="N21" s="7"/>
      <c r="O21" s="26"/>
      <c r="P21" s="17">
        <f>B21</f>
        <v>7173.5839751902095</v>
      </c>
      <c r="Q21" s="28"/>
      <c r="R21" s="17">
        <f t="shared" si="2"/>
        <v>7173.5839751902095</v>
      </c>
      <c r="S21" s="8">
        <v>15952</v>
      </c>
      <c r="T21" s="17">
        <f t="shared" si="1"/>
        <v>23125.583975190209</v>
      </c>
      <c r="U21" s="8">
        <f>S21+X21</f>
        <v>27181.405546487273</v>
      </c>
      <c r="W21">
        <f>R21*(1+Factor_8060)</f>
        <v>8975.248390946801</v>
      </c>
      <c r="X21">
        <f>W21*(1+Factor_8060)</f>
        <v>11229.405546487271</v>
      </c>
    </row>
    <row r="22" spans="1:24" x14ac:dyDescent="0.25">
      <c r="C22" s="13"/>
      <c r="D22" s="13"/>
      <c r="E22" s="13"/>
      <c r="F22" s="1"/>
      <c r="G22" s="1"/>
      <c r="H22" s="1"/>
      <c r="I22" s="20"/>
      <c r="J22" s="20"/>
      <c r="L22" s="20"/>
      <c r="M22" s="23"/>
      <c r="N22" s="20" t="s">
        <v>49</v>
      </c>
      <c r="O22" s="16"/>
      <c r="P22" s="17"/>
      <c r="Q22" s="8"/>
      <c r="R22" s="17"/>
      <c r="S22" s="8"/>
      <c r="T22" s="8"/>
    </row>
    <row r="23" spans="1:24" s="12" customFormat="1" x14ac:dyDescent="0.25">
      <c r="A23" s="63">
        <v>9416.3050502668702</v>
      </c>
      <c r="B23" s="13">
        <v>9355.3383829498125</v>
      </c>
      <c r="C23" s="13">
        <v>24000</v>
      </c>
      <c r="D23" s="13">
        <v>45017</v>
      </c>
      <c r="E23" s="13">
        <v>33345.406136526217</v>
      </c>
      <c r="F23" s="1" t="s">
        <v>13</v>
      </c>
      <c r="G23" s="1">
        <v>51.2</v>
      </c>
      <c r="H23" s="4">
        <v>-0.64</v>
      </c>
      <c r="I23" s="63">
        <v>23929.104949733133</v>
      </c>
      <c r="J23" s="64">
        <v>1514</v>
      </c>
      <c r="K23" s="63">
        <v>230.94506101640201</v>
      </c>
      <c r="L23" s="63">
        <v>8.6123412580793104E-2</v>
      </c>
      <c r="M23" s="63">
        <v>4.1126552509641298E-2</v>
      </c>
      <c r="O23" s="26"/>
      <c r="P23" s="33">
        <f>B23</f>
        <v>9355.3383829498125</v>
      </c>
      <c r="Q23" s="33">
        <f>A13</f>
        <v>7512.85822136754</v>
      </c>
      <c r="R23" s="33">
        <f>P23-Q23</f>
        <v>1842.4801615822726</v>
      </c>
      <c r="S23" s="33">
        <f>E13</f>
        <v>30596.686545817753</v>
      </c>
      <c r="T23" s="33">
        <f t="shared" ref="T23:T31" si="3">R23+S23</f>
        <v>32439.166707400025</v>
      </c>
      <c r="U23" s="33">
        <f>S23+X23</f>
        <v>33345.406136526217</v>
      </c>
      <c r="V23" s="33"/>
      <c r="W23" s="31">
        <f t="shared" ref="W23:W31" si="4">R23*(1+Factor8061)</f>
        <v>2250.4358057125041</v>
      </c>
      <c r="X23" s="32">
        <f t="shared" ref="X23:X31" si="5">W23*(1+Factor8061)</f>
        <v>2748.7195907084633</v>
      </c>
    </row>
    <row r="24" spans="1:24" s="12" customFormat="1" x14ac:dyDescent="0.25">
      <c r="A24" s="63">
        <v>9496.5860255832595</v>
      </c>
      <c r="B24" s="13">
        <v>9408.6607109964589</v>
      </c>
      <c r="C24" s="13">
        <v>24000</v>
      </c>
      <c r="D24" s="13">
        <v>45017</v>
      </c>
      <c r="E24" s="13">
        <v>33506.452116201282</v>
      </c>
      <c r="F24" s="1" t="s">
        <v>2</v>
      </c>
      <c r="G24" s="1">
        <v>51.2</v>
      </c>
      <c r="H24" s="4">
        <v>-0.64</v>
      </c>
      <c r="I24" s="63">
        <v>24009.863974416738</v>
      </c>
      <c r="J24" s="64">
        <v>1423</v>
      </c>
      <c r="K24" s="63">
        <v>226.55781010787501</v>
      </c>
      <c r="L24" s="63">
        <v>4.5924885285582903E-2</v>
      </c>
      <c r="M24" s="63">
        <v>3.57588993779933E-2</v>
      </c>
      <c r="O24" s="26"/>
      <c r="P24" s="33">
        <f>B24</f>
        <v>9408.6607109964589</v>
      </c>
      <c r="Q24" s="33">
        <f>A14</f>
        <v>7514.1808972961198</v>
      </c>
      <c r="R24" s="33">
        <f>P24-Q24</f>
        <v>1894.479813700339</v>
      </c>
      <c r="S24" s="33">
        <f t="shared" ref="S24:S31" si="6">E14</f>
        <v>30680.156405289599</v>
      </c>
      <c r="T24" s="33">
        <f t="shared" si="3"/>
        <v>32574.636218989937</v>
      </c>
      <c r="U24" s="33">
        <f>S24+X24</f>
        <v>33506.452116201282</v>
      </c>
      <c r="V24" s="33"/>
      <c r="W24" s="31">
        <f t="shared" si="4"/>
        <v>2313.9490426260541</v>
      </c>
      <c r="X24" s="32">
        <f t="shared" si="5"/>
        <v>2826.2957109116828</v>
      </c>
    </row>
    <row r="25" spans="1:24" s="12" customFormat="1" x14ac:dyDescent="0.25">
      <c r="A25" s="64">
        <v>9469.5085976676692</v>
      </c>
      <c r="B25" s="13">
        <v>9344.5215456123915</v>
      </c>
      <c r="C25" s="13">
        <v>24000</v>
      </c>
      <c r="D25" s="13">
        <v>45017</v>
      </c>
      <c r="E25" s="13">
        <v>33387.596702115479</v>
      </c>
      <c r="F25" s="1" t="s">
        <v>3</v>
      </c>
      <c r="G25" s="1">
        <v>51.2</v>
      </c>
      <c r="H25" s="4">
        <v>-0.64</v>
      </c>
      <c r="I25" s="63">
        <v>23918.091402332328</v>
      </c>
      <c r="J25" s="64">
        <v>1453</v>
      </c>
      <c r="K25" s="63">
        <v>230.57412534481401</v>
      </c>
      <c r="L25" s="63">
        <v>3.1820122373587501E-2</v>
      </c>
      <c r="M25" s="63">
        <v>4.2624520561782897E-2</v>
      </c>
      <c r="O25" s="26"/>
      <c r="P25" s="33">
        <f>B25</f>
        <v>9344.5215456123915</v>
      </c>
      <c r="Q25" s="33">
        <f>A15</f>
        <v>7462.4109098819899</v>
      </c>
      <c r="R25" s="33">
        <f>P25-Q25</f>
        <v>1882.1106357304016</v>
      </c>
      <c r="S25" s="33">
        <f t="shared" si="6"/>
        <v>30579.754053828758</v>
      </c>
      <c r="T25" s="33">
        <f t="shared" si="3"/>
        <v>32461.864689559159</v>
      </c>
      <c r="U25" s="33">
        <f>S25+X25</f>
        <v>33387.596702115479</v>
      </c>
      <c r="V25" s="33"/>
      <c r="W25" s="31">
        <f t="shared" si="4"/>
        <v>2298.8411236529278</v>
      </c>
      <c r="X25" s="32">
        <f t="shared" si="5"/>
        <v>2807.8426482867217</v>
      </c>
    </row>
    <row r="26" spans="1:24" s="12" customFormat="1" x14ac:dyDescent="0.25">
      <c r="A26" s="63">
        <v>9539.2850233365898</v>
      </c>
      <c r="B26" s="13">
        <v>9417.8182813795975</v>
      </c>
      <c r="C26" s="13">
        <v>24000</v>
      </c>
      <c r="D26" s="13">
        <v>45017</v>
      </c>
      <c r="E26" s="13">
        <v>33565.611446072435</v>
      </c>
      <c r="F26" s="1" t="s">
        <v>4</v>
      </c>
      <c r="G26" s="1">
        <v>51.2</v>
      </c>
      <c r="H26" s="4">
        <v>-0.64</v>
      </c>
      <c r="I26" s="63">
        <v>24026.324976663411</v>
      </c>
      <c r="J26" s="64">
        <v>1429</v>
      </c>
      <c r="K26" s="63">
        <v>226.53065244566099</v>
      </c>
      <c r="L26" s="63">
        <v>3.6271047089414699E-2</v>
      </c>
      <c r="M26" s="63">
        <v>3.12385395837547E-2</v>
      </c>
      <c r="O26" s="26"/>
      <c r="P26" s="33">
        <f>B26</f>
        <v>9417.8182813795975</v>
      </c>
      <c r="Q26" s="33">
        <f>A16</f>
        <v>7493.2925701709</v>
      </c>
      <c r="R26" s="33">
        <f>P26-Q26</f>
        <v>1924.5257112086974</v>
      </c>
      <c r="S26" s="33">
        <f t="shared" si="6"/>
        <v>30694.491509194206</v>
      </c>
      <c r="T26" s="33">
        <f t="shared" si="3"/>
        <v>32619.017220402904</v>
      </c>
      <c r="U26" s="33">
        <f>S26+X26</f>
        <v>33565.611446072435</v>
      </c>
      <c r="V26" s="33"/>
      <c r="W26" s="31">
        <f t="shared" si="4"/>
        <v>2350.6475998086244</v>
      </c>
      <c r="X26" s="32">
        <f t="shared" si="5"/>
        <v>2871.11993687823</v>
      </c>
    </row>
    <row r="27" spans="1:24" x14ac:dyDescent="0.25">
      <c r="B27" s="13"/>
      <c r="C27" s="13"/>
      <c r="D27" s="13"/>
      <c r="E27" s="13"/>
      <c r="F27" s="1"/>
      <c r="G27" s="1"/>
      <c r="H27" s="4"/>
      <c r="I27" s="8"/>
      <c r="J27" s="8"/>
      <c r="K27" s="8"/>
      <c r="L27" s="8"/>
      <c r="M27" s="8"/>
      <c r="O27" s="16"/>
      <c r="P27" s="33"/>
      <c r="Q27" s="34"/>
      <c r="R27" s="33"/>
      <c r="S27" s="34"/>
      <c r="T27" s="33"/>
      <c r="U27" s="34"/>
      <c r="V27" s="34"/>
      <c r="W27" s="31">
        <f t="shared" si="4"/>
        <v>0</v>
      </c>
      <c r="X27" s="32">
        <f t="shared" si="5"/>
        <v>0</v>
      </c>
    </row>
    <row r="28" spans="1:24" x14ac:dyDescent="0.25">
      <c r="A28" s="17">
        <v>7283.4580790874197</v>
      </c>
      <c r="B28" s="13">
        <v>7123.3300259836597</v>
      </c>
      <c r="C28" s="13">
        <v>24000</v>
      </c>
      <c r="D28" s="13">
        <v>45017</v>
      </c>
      <c r="E28" s="13">
        <v>23282.92517253444</v>
      </c>
      <c r="F28" s="5" t="s">
        <v>13</v>
      </c>
      <c r="G28" s="1">
        <v>28.5</v>
      </c>
      <c r="H28" s="1">
        <v>-0.36</v>
      </c>
      <c r="I28" s="13">
        <v>15999.47192091258</v>
      </c>
      <c r="J28" s="14">
        <v>1035</v>
      </c>
      <c r="K28" s="13">
        <v>153.203951527182</v>
      </c>
      <c r="L28" s="13">
        <v>4.9108701281535098E-2</v>
      </c>
      <c r="M28" s="17">
        <v>4.5138377278683001E-2</v>
      </c>
      <c r="N28" s="6"/>
      <c r="O28" s="7"/>
      <c r="P28" s="33">
        <f>B28</f>
        <v>7123.3300259836597</v>
      </c>
      <c r="Q28" s="34">
        <f>A18</f>
        <v>10250.693601232801</v>
      </c>
      <c r="R28" s="33">
        <f t="shared" ref="R28:R31" si="7">P28-Q28</f>
        <v>-3127.3635752491409</v>
      </c>
      <c r="S28" s="34">
        <f t="shared" si="6"/>
        <v>27102.738874722556</v>
      </c>
      <c r="T28" s="33">
        <f t="shared" si="3"/>
        <v>23975.375299473417</v>
      </c>
      <c r="U28" s="34">
        <f>S28+W28</f>
        <v>23282.92517253444</v>
      </c>
      <c r="V28" s="34"/>
      <c r="W28" s="31">
        <f t="shared" si="4"/>
        <v>-3819.8137021881157</v>
      </c>
      <c r="X28" s="32">
        <f t="shared" si="5"/>
        <v>-4665.5837635576763</v>
      </c>
    </row>
    <row r="29" spans="1:24" x14ac:dyDescent="0.25">
      <c r="A29" s="17">
        <v>6740.1055378593001</v>
      </c>
      <c r="B29" s="13">
        <v>7172.2122603736698</v>
      </c>
      <c r="C29" s="13">
        <v>24000</v>
      </c>
      <c r="D29" s="13">
        <v>45017</v>
      </c>
      <c r="E29" s="13">
        <v>22506.24551490054</v>
      </c>
      <c r="F29" s="1" t="s">
        <v>2</v>
      </c>
      <c r="G29" s="1">
        <v>28.5</v>
      </c>
      <c r="H29" s="46">
        <v>-0.36</v>
      </c>
      <c r="I29" s="13">
        <v>15766.144462140699</v>
      </c>
      <c r="J29" s="14">
        <v>1011</v>
      </c>
      <c r="K29" s="13">
        <v>155.459011302562</v>
      </c>
      <c r="L29" s="30">
        <v>0.130528801206826</v>
      </c>
      <c r="M29" s="17">
        <v>5.2010617085319497E-2</v>
      </c>
      <c r="N29" s="7"/>
      <c r="O29" s="7"/>
      <c r="P29" s="33">
        <f>B29</f>
        <v>7172.2122603736698</v>
      </c>
      <c r="Q29" s="34">
        <f t="shared" ref="Q29:Q31" si="8">A19</f>
        <v>10304.555536718501</v>
      </c>
      <c r="R29" s="33">
        <f t="shared" si="7"/>
        <v>-3132.3432763448309</v>
      </c>
      <c r="S29" s="34">
        <f t="shared" si="6"/>
        <v>27179.258287596553</v>
      </c>
      <c r="T29" s="33">
        <f t="shared" si="3"/>
        <v>24046.915011251724</v>
      </c>
      <c r="U29" s="34">
        <f>S29+X29</f>
        <v>22506.24551490054</v>
      </c>
      <c r="V29" s="34"/>
      <c r="W29" s="31">
        <f t="shared" si="4"/>
        <v>-3825.895991637497</v>
      </c>
      <c r="X29" s="32">
        <f t="shared" si="5"/>
        <v>-4673.0127726960118</v>
      </c>
    </row>
    <row r="30" spans="1:24" x14ac:dyDescent="0.25">
      <c r="A30" s="17">
        <v>6605.4814123190599</v>
      </c>
      <c r="B30" s="13">
        <v>7107.9141589435894</v>
      </c>
      <c r="C30" s="13">
        <v>24000</v>
      </c>
      <c r="D30" s="13">
        <v>45017</v>
      </c>
      <c r="E30" s="13">
        <v>22382.113756812752</v>
      </c>
      <c r="F30" s="1" t="s">
        <v>3</v>
      </c>
      <c r="G30" s="1">
        <v>28.5</v>
      </c>
      <c r="H30" s="1">
        <v>-0.36</v>
      </c>
      <c r="I30" s="13">
        <v>15776.628587680942</v>
      </c>
      <c r="J30" s="14">
        <v>1007</v>
      </c>
      <c r="K30" s="13">
        <v>151.32840516970799</v>
      </c>
      <c r="L30" s="13">
        <v>4.69059045757775E-2</v>
      </c>
      <c r="M30" s="17">
        <v>4.9895283805052197E-2</v>
      </c>
      <c r="N30" s="7"/>
      <c r="O30" s="7"/>
      <c r="P30" s="33">
        <f>B30</f>
        <v>7107.9141589435894</v>
      </c>
      <c r="Q30" s="34">
        <f t="shared" si="8"/>
        <v>10255.996603387001</v>
      </c>
      <c r="R30" s="33">
        <f t="shared" si="7"/>
        <v>-3148.0824444434111</v>
      </c>
      <c r="S30" s="34">
        <f t="shared" si="6"/>
        <v>27078.607140370194</v>
      </c>
      <c r="T30" s="33">
        <f t="shared" si="3"/>
        <v>23930.524695926782</v>
      </c>
      <c r="U30" s="34">
        <f>S30+X30</f>
        <v>22382.113756812752</v>
      </c>
      <c r="V30" s="34"/>
      <c r="W30" s="31">
        <f t="shared" si="4"/>
        <v>-3845.1200724062992</v>
      </c>
      <c r="X30" s="32">
        <f t="shared" si="5"/>
        <v>-4696.4933835574429</v>
      </c>
    </row>
    <row r="31" spans="1:24" x14ac:dyDescent="0.25">
      <c r="A31" s="17">
        <v>6742.5456659773499</v>
      </c>
      <c r="B31" s="13">
        <v>7173.5839751902095</v>
      </c>
      <c r="C31" s="13">
        <v>24000</v>
      </c>
      <c r="D31" s="13">
        <v>45017</v>
      </c>
      <c r="E31" s="13">
        <v>22495.325835570718</v>
      </c>
      <c r="F31" s="1" t="s">
        <v>4</v>
      </c>
      <c r="G31" s="1">
        <v>28.5</v>
      </c>
      <c r="H31" s="46">
        <v>-0.36</v>
      </c>
      <c r="I31" s="13">
        <v>15752.784334022652</v>
      </c>
      <c r="J31" s="14">
        <v>1005</v>
      </c>
      <c r="K31" s="13">
        <v>154.89437138102201</v>
      </c>
      <c r="L31" s="30">
        <v>0.22051082221607901</v>
      </c>
      <c r="M31" s="17">
        <v>5.4992164121655002E-2</v>
      </c>
      <c r="N31" s="7"/>
      <c r="O31" s="7"/>
      <c r="P31" s="33">
        <f>B31</f>
        <v>7173.5839751902095</v>
      </c>
      <c r="Q31" s="34">
        <f t="shared" si="8"/>
        <v>10314.686084020301</v>
      </c>
      <c r="R31" s="33">
        <f t="shared" si="7"/>
        <v>-3141.1021088300913</v>
      </c>
      <c r="S31" s="34">
        <f t="shared" si="6"/>
        <v>27181.405546487273</v>
      </c>
      <c r="T31" s="33">
        <f t="shared" si="3"/>
        <v>24040.303437657181</v>
      </c>
      <c r="U31" s="34">
        <f>S31+X31</f>
        <v>22495.325835570718</v>
      </c>
      <c r="V31" s="34"/>
      <c r="W31" s="31">
        <f t="shared" si="4"/>
        <v>-3836.5941747995566</v>
      </c>
      <c r="X31" s="32">
        <f t="shared" si="5"/>
        <v>-4686.0797109165533</v>
      </c>
    </row>
    <row r="32" spans="1:24" x14ac:dyDescent="0.25">
      <c r="N32" t="s">
        <v>50</v>
      </c>
    </row>
    <row r="33" spans="1:24" x14ac:dyDescent="0.25">
      <c r="B33" s="13">
        <v>9355.3383829498125</v>
      </c>
      <c r="C33" s="13">
        <v>24000</v>
      </c>
      <c r="D33" s="13">
        <v>45017</v>
      </c>
      <c r="E33" s="13">
        <v>33254.452498962659</v>
      </c>
      <c r="F33" s="1" t="s">
        <v>13</v>
      </c>
      <c r="G33" s="1">
        <v>51.2</v>
      </c>
      <c r="H33" s="4">
        <v>-0.64</v>
      </c>
      <c r="P33" s="33">
        <f>B33</f>
        <v>9355.3383829498125</v>
      </c>
      <c r="Q33" s="33">
        <f>A23</f>
        <v>9416.3050502668702</v>
      </c>
      <c r="R33" s="33">
        <f>P33-Q33</f>
        <v>-60.966667317057727</v>
      </c>
      <c r="S33" s="33">
        <f>E23</f>
        <v>33345.406136526217</v>
      </c>
      <c r="T33" s="33">
        <f t="shared" ref="T33:T36" si="9">R33+S33</f>
        <v>33284.439469209159</v>
      </c>
      <c r="U33" s="33">
        <f>S33+X33</f>
        <v>33254.452498962659</v>
      </c>
      <c r="V33" s="33"/>
      <c r="W33" s="31">
        <f t="shared" ref="W33:W41" si="10">R33*(1+Factor8061)</f>
        <v>-74.465697892477692</v>
      </c>
      <c r="X33" s="32">
        <f t="shared" ref="X33:X41" si="11">W33*(1+Factor8061)</f>
        <v>-90.95363756355917</v>
      </c>
    </row>
    <row r="34" spans="1:24" x14ac:dyDescent="0.25">
      <c r="B34" s="13">
        <v>9408.6607109964589</v>
      </c>
      <c r="C34" s="13">
        <v>24000</v>
      </c>
      <c r="D34" s="13">
        <v>45017</v>
      </c>
      <c r="E34" s="13">
        <v>33375.279993014679</v>
      </c>
      <c r="F34" s="1" t="s">
        <v>2</v>
      </c>
      <c r="G34" s="1">
        <v>51.2</v>
      </c>
      <c r="H34" s="4">
        <v>-0.64</v>
      </c>
      <c r="P34" s="33">
        <f>B34</f>
        <v>9408.6607109964589</v>
      </c>
      <c r="Q34" s="33">
        <f>A24</f>
        <v>9496.5860255832595</v>
      </c>
      <c r="R34" s="33">
        <f>P34-Q34</f>
        <v>-87.925314586800596</v>
      </c>
      <c r="S34" s="33">
        <f t="shared" ref="S34:S36" si="12">E24</f>
        <v>33506.452116201282</v>
      </c>
      <c r="T34" s="33">
        <f t="shared" si="9"/>
        <v>33418.526801614484</v>
      </c>
      <c r="U34" s="33">
        <f>S34+X34</f>
        <v>33375.279993014679</v>
      </c>
      <c r="V34" s="33"/>
      <c r="W34" s="31">
        <f t="shared" si="10"/>
        <v>-107.39343646704251</v>
      </c>
      <c r="X34" s="32">
        <f t="shared" si="11"/>
        <v>-131.17212318660376</v>
      </c>
    </row>
    <row r="35" spans="1:24" x14ac:dyDescent="0.25">
      <c r="B35" s="13">
        <v>9344.5215456123915</v>
      </c>
      <c r="C35" s="13">
        <v>24000</v>
      </c>
      <c r="D35" s="13">
        <v>45017</v>
      </c>
      <c r="E35" s="13">
        <v>33201.133712861796</v>
      </c>
      <c r="F35" s="1" t="s">
        <v>3</v>
      </c>
      <c r="G35" s="1">
        <v>51.2</v>
      </c>
      <c r="H35" s="4">
        <v>-0.64</v>
      </c>
      <c r="P35" s="33">
        <f>B35</f>
        <v>9344.5215456123915</v>
      </c>
      <c r="Q35" s="33">
        <f>A25</f>
        <v>9469.5085976676692</v>
      </c>
      <c r="R35" s="33">
        <f>P35-Q35</f>
        <v>-124.98705205527767</v>
      </c>
      <c r="S35" s="33">
        <f t="shared" si="12"/>
        <v>33387.596702115479</v>
      </c>
      <c r="T35" s="33">
        <f t="shared" si="9"/>
        <v>33262.6096500602</v>
      </c>
      <c r="U35" s="33">
        <f>S35+X35</f>
        <v>33201.133712861796</v>
      </c>
      <c r="V35" s="33"/>
      <c r="W35" s="31">
        <f t="shared" si="10"/>
        <v>-152.66125685396676</v>
      </c>
      <c r="X35" s="32">
        <f t="shared" si="11"/>
        <v>-186.46298925368345</v>
      </c>
    </row>
    <row r="36" spans="1:24" x14ac:dyDescent="0.25">
      <c r="B36" s="13">
        <v>9417.8182813795975</v>
      </c>
      <c r="C36" s="13">
        <v>24000</v>
      </c>
      <c r="D36" s="13">
        <v>45017</v>
      </c>
      <c r="E36" s="13">
        <v>33384.40026117154</v>
      </c>
      <c r="F36" s="1" t="s">
        <v>4</v>
      </c>
      <c r="G36" s="1">
        <v>51.2</v>
      </c>
      <c r="H36" s="4">
        <v>-0.64</v>
      </c>
      <c r="P36" s="33">
        <f>B36</f>
        <v>9417.8182813795975</v>
      </c>
      <c r="Q36" s="33">
        <f>A26</f>
        <v>9539.2850233365898</v>
      </c>
      <c r="R36" s="33">
        <f>P36-Q36</f>
        <v>-121.46674195699234</v>
      </c>
      <c r="S36" s="33">
        <f t="shared" si="12"/>
        <v>33565.611446072435</v>
      </c>
      <c r="T36" s="33">
        <f t="shared" si="9"/>
        <v>33444.144704115446</v>
      </c>
      <c r="U36" s="33">
        <f>S36+X36</f>
        <v>33384.40026117154</v>
      </c>
      <c r="V36" s="33"/>
      <c r="W36" s="31">
        <f t="shared" si="10"/>
        <v>-148.36149175604072</v>
      </c>
      <c r="X36" s="32">
        <f t="shared" si="11"/>
        <v>-181.21118490089415</v>
      </c>
    </row>
    <row r="37" spans="1:24" x14ac:dyDescent="0.25">
      <c r="B37" s="13"/>
      <c r="C37" s="13"/>
      <c r="D37" s="13"/>
      <c r="E37" s="13"/>
      <c r="F37" s="1"/>
      <c r="G37" s="1"/>
      <c r="H37" s="4"/>
      <c r="P37" s="33"/>
      <c r="Q37" s="34"/>
      <c r="R37" s="33"/>
      <c r="S37" s="34"/>
      <c r="T37" s="33"/>
      <c r="U37" s="34"/>
      <c r="V37" s="34"/>
      <c r="W37" s="31">
        <f t="shared" si="10"/>
        <v>0</v>
      </c>
      <c r="X37" s="32">
        <f t="shared" si="11"/>
        <v>0</v>
      </c>
    </row>
    <row r="38" spans="1:24" x14ac:dyDescent="0.25">
      <c r="A38" s="61">
        <v>7135.4117560036102</v>
      </c>
      <c r="B38" s="13">
        <v>7123.3300259836597</v>
      </c>
      <c r="C38" s="13">
        <v>24000</v>
      </c>
      <c r="D38" s="13">
        <v>45017</v>
      </c>
      <c r="E38" s="44">
        <v>23087.342114590268</v>
      </c>
      <c r="F38" s="5" t="s">
        <v>13</v>
      </c>
      <c r="G38" s="1">
        <v>28.5</v>
      </c>
      <c r="H38" s="1">
        <v>-0.36</v>
      </c>
      <c r="I38" s="60">
        <v>15951.92824399639</v>
      </c>
      <c r="J38" s="62">
        <v>1030</v>
      </c>
      <c r="K38" s="60">
        <v>152.78426821628801</v>
      </c>
      <c r="L38" s="60">
        <v>4.9063889522187001E-2</v>
      </c>
      <c r="M38" s="60">
        <v>4.2644209548429499E-2</v>
      </c>
      <c r="P38" s="33">
        <f>B38</f>
        <v>7123.3300259836597</v>
      </c>
      <c r="Q38" s="34">
        <f>A28</f>
        <v>7283.4580790874197</v>
      </c>
      <c r="R38" s="33">
        <f t="shared" ref="R38:R41" si="13">P38-Q38</f>
        <v>-160.12805310376007</v>
      </c>
      <c r="S38" s="34">
        <f t="shared" ref="S38:S41" si="14">E28</f>
        <v>23282.92517253444</v>
      </c>
      <c r="T38" s="33">
        <f t="shared" ref="T38:T41" si="15">R38+S38</f>
        <v>23122.797119430681</v>
      </c>
      <c r="U38" s="34">
        <f>S38+W38</f>
        <v>23087.342114590268</v>
      </c>
      <c r="V38" s="34"/>
      <c r="W38" s="31">
        <f t="shared" si="10"/>
        <v>-195.58305794417305</v>
      </c>
      <c r="X38" s="32">
        <f t="shared" si="11"/>
        <v>-238.88838846998706</v>
      </c>
    </row>
    <row r="39" spans="1:24" x14ac:dyDescent="0.25">
      <c r="A39" s="61">
        <v>7230.9056431158597</v>
      </c>
      <c r="B39" s="13">
        <v>7172.2122603736698</v>
      </c>
      <c r="C39" s="13">
        <v>24000</v>
      </c>
      <c r="D39" s="13">
        <v>45017</v>
      </c>
      <c r="E39" s="44">
        <v>23150.887578472109</v>
      </c>
      <c r="F39" s="1" t="s">
        <v>2</v>
      </c>
      <c r="G39" s="1">
        <v>28.5</v>
      </c>
      <c r="H39" s="46">
        <v>-0.36</v>
      </c>
      <c r="I39" s="60">
        <v>15919.984356884139</v>
      </c>
      <c r="J39" s="62">
        <v>1020</v>
      </c>
      <c r="K39" s="60">
        <v>156.973615701499</v>
      </c>
      <c r="L39" s="60">
        <v>0.115685906194714</v>
      </c>
      <c r="M39" s="60">
        <v>5.5517628158104002E-2</v>
      </c>
      <c r="P39" s="33">
        <f>B39</f>
        <v>7172.2122603736698</v>
      </c>
      <c r="Q39" s="34">
        <f t="shared" ref="Q39:Q41" si="16">A29</f>
        <v>6740.1055378593001</v>
      </c>
      <c r="R39" s="33">
        <f t="shared" si="13"/>
        <v>432.10672251436972</v>
      </c>
      <c r="S39" s="34">
        <f t="shared" si="14"/>
        <v>22506.24551490054</v>
      </c>
      <c r="T39" s="33">
        <f t="shared" si="15"/>
        <v>22938.352237414911</v>
      </c>
      <c r="U39" s="34">
        <f>S39+X39</f>
        <v>23150.887578472109</v>
      </c>
      <c r="V39" s="34"/>
      <c r="W39" s="31">
        <f t="shared" si="10"/>
        <v>527.78231240238676</v>
      </c>
      <c r="X39" s="32">
        <f t="shared" si="11"/>
        <v>644.64206357156888</v>
      </c>
    </row>
    <row r="40" spans="1:24" x14ac:dyDescent="0.25">
      <c r="A40" s="61">
        <v>7188.7574439937298</v>
      </c>
      <c r="B40" s="13">
        <v>7107.9141589435894</v>
      </c>
      <c r="C40" s="13">
        <v>24000</v>
      </c>
      <c r="D40" s="13">
        <v>45017</v>
      </c>
      <c r="E40" s="44">
        <v>23131.672293429125</v>
      </c>
      <c r="F40" s="1" t="s">
        <v>3</v>
      </c>
      <c r="G40" s="1">
        <v>28.5</v>
      </c>
      <c r="H40" s="1">
        <v>-0.36</v>
      </c>
      <c r="I40" s="60">
        <v>15942.912556006268</v>
      </c>
      <c r="J40" s="62">
        <v>1019</v>
      </c>
      <c r="K40" s="60">
        <v>153.37811725597899</v>
      </c>
      <c r="L40" s="60">
        <v>4.8400426365252699E-2</v>
      </c>
      <c r="M40" s="60">
        <v>5.0852416919975697E-2</v>
      </c>
      <c r="P40" s="33">
        <f>B40</f>
        <v>7107.9141589435894</v>
      </c>
      <c r="Q40" s="34">
        <f t="shared" si="16"/>
        <v>6605.4814123190599</v>
      </c>
      <c r="R40" s="33">
        <f t="shared" si="13"/>
        <v>502.4327466245295</v>
      </c>
      <c r="S40" s="34">
        <f t="shared" si="14"/>
        <v>22382.113756812752</v>
      </c>
      <c r="T40" s="33">
        <f t="shared" si="15"/>
        <v>22884.546503437283</v>
      </c>
      <c r="U40" s="34">
        <f>S40+X40</f>
        <v>23131.672293429125</v>
      </c>
      <c r="V40" s="34"/>
      <c r="W40" s="31">
        <f t="shared" si="10"/>
        <v>613.67968379931483</v>
      </c>
      <c r="X40" s="32">
        <f t="shared" si="11"/>
        <v>749.55853661637252</v>
      </c>
    </row>
    <row r="41" spans="1:24" x14ac:dyDescent="0.25">
      <c r="A41" s="60">
        <v>7227.1783523957401</v>
      </c>
      <c r="B41" s="13">
        <v>7173.5839751902095</v>
      </c>
      <c r="C41" s="13">
        <v>24000</v>
      </c>
      <c r="D41" s="13">
        <v>45017</v>
      </c>
      <c r="E41" s="44">
        <v>23138.373977734573</v>
      </c>
      <c r="F41" s="1" t="s">
        <v>4</v>
      </c>
      <c r="G41" s="1">
        <v>28.5</v>
      </c>
      <c r="H41" s="46">
        <v>-0.36</v>
      </c>
      <c r="I41" s="60">
        <v>15911.191647604259</v>
      </c>
      <c r="J41" s="62">
        <v>1016</v>
      </c>
      <c r="K41" s="60">
        <v>156.42410191796799</v>
      </c>
      <c r="L41" s="60">
        <v>0.11475881111371</v>
      </c>
      <c r="M41" s="60">
        <v>5.4383585837535102E-2</v>
      </c>
      <c r="P41" s="33">
        <f>B41</f>
        <v>7173.5839751902095</v>
      </c>
      <c r="Q41" s="34">
        <f t="shared" si="16"/>
        <v>6742.5456659773499</v>
      </c>
      <c r="R41" s="33">
        <f t="shared" si="13"/>
        <v>431.03830921285953</v>
      </c>
      <c r="S41" s="34">
        <f t="shared" si="14"/>
        <v>22495.325835570718</v>
      </c>
      <c r="T41" s="33">
        <f t="shared" si="15"/>
        <v>22926.364144783576</v>
      </c>
      <c r="U41" s="34">
        <f>S41+X41</f>
        <v>23138.373977734573</v>
      </c>
      <c r="V41" s="34"/>
      <c r="W41" s="31">
        <f t="shared" si="10"/>
        <v>526.47733468856802</v>
      </c>
      <c r="X41" s="32">
        <f t="shared" si="11"/>
        <v>643.04814216385478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C4BF-1D60-4045-AB75-07AC741F701F}">
  <dimension ref="A3:U24"/>
  <sheetViews>
    <sheetView workbookViewId="0">
      <selection activeCell="A20" sqref="A20:A24"/>
    </sheetView>
  </sheetViews>
  <sheetFormatPr defaultRowHeight="15" x14ac:dyDescent="0.25"/>
  <cols>
    <col min="2" max="2" width="12" bestFit="1" customWidth="1"/>
    <col min="3" max="3" width="11.28515625" bestFit="1" customWidth="1"/>
    <col min="4" max="4" width="12" bestFit="1" customWidth="1"/>
    <col min="5" max="5" width="11.28515625" bestFit="1" customWidth="1"/>
    <col min="16" max="16" width="12.5703125" customWidth="1"/>
  </cols>
  <sheetData>
    <row r="3" spans="1:21" x14ac:dyDescent="0.25">
      <c r="A3" s="2" t="s">
        <v>68</v>
      </c>
    </row>
    <row r="4" spans="1:21" x14ac:dyDescent="0.25">
      <c r="A4" s="2" t="s">
        <v>71</v>
      </c>
      <c r="B4" s="21" t="s">
        <v>69</v>
      </c>
      <c r="C4" s="21" t="s">
        <v>70</v>
      </c>
      <c r="Q4" s="8"/>
      <c r="R4" s="8"/>
      <c r="S4" s="8"/>
      <c r="T4" s="8"/>
    </row>
    <row r="5" spans="1:21" x14ac:dyDescent="0.25">
      <c r="A5" s="38" t="s">
        <v>72</v>
      </c>
      <c r="B5" s="8">
        <f>'64x8061 (24T)'!I38</f>
        <v>15951.92824399639</v>
      </c>
      <c r="C5" s="8">
        <f>'64x8061 (24T)'!I23</f>
        <v>23929.104949733133</v>
      </c>
      <c r="Q5" s="8"/>
      <c r="S5" s="8"/>
      <c r="T5" s="8"/>
    </row>
    <row r="6" spans="1:21" x14ac:dyDescent="0.25">
      <c r="A6" s="38" t="s">
        <v>73</v>
      </c>
      <c r="B6" s="8">
        <f>'64x8061 (24T)'!I39</f>
        <v>15919.984356884139</v>
      </c>
      <c r="C6" s="8">
        <f>'64x8061 (24T)'!I24</f>
        <v>24009.863974416738</v>
      </c>
      <c r="Q6" s="8"/>
      <c r="S6" s="8"/>
      <c r="T6" s="8"/>
    </row>
    <row r="7" spans="1:21" x14ac:dyDescent="0.25">
      <c r="A7" s="38" t="s">
        <v>74</v>
      </c>
      <c r="B7" s="8">
        <f>'64x8061 (24T)'!I40</f>
        <v>15942.912556006268</v>
      </c>
      <c r="C7" s="8">
        <f>'64x8061 (24T)'!I25</f>
        <v>23918.091402332328</v>
      </c>
      <c r="Q7" s="8"/>
      <c r="R7" s="8"/>
      <c r="S7" s="8"/>
      <c r="T7" s="8"/>
    </row>
    <row r="8" spans="1:21" x14ac:dyDescent="0.25">
      <c r="A8" s="38" t="s">
        <v>75</v>
      </c>
      <c r="B8" s="8">
        <f>'64x8061 (24T)'!I41</f>
        <v>15911.191647604259</v>
      </c>
      <c r="C8" s="8">
        <f>'64x8061 (24T)'!I26</f>
        <v>24026.324976663411</v>
      </c>
    </row>
    <row r="10" spans="1:21" x14ac:dyDescent="0.25">
      <c r="B10">
        <v>51.2</v>
      </c>
      <c r="C10">
        <v>51.2</v>
      </c>
      <c r="D10">
        <v>28.5</v>
      </c>
      <c r="E10">
        <v>28.5</v>
      </c>
      <c r="R10" s="38"/>
      <c r="S10" s="38"/>
      <c r="T10" s="38"/>
      <c r="U10" s="38"/>
    </row>
    <row r="11" spans="1:21" x14ac:dyDescent="0.25">
      <c r="B11" t="s">
        <v>124</v>
      </c>
      <c r="C11" t="s">
        <v>125</v>
      </c>
      <c r="D11" t="s">
        <v>126</v>
      </c>
      <c r="E11" t="s">
        <v>127</v>
      </c>
      <c r="R11" s="8"/>
      <c r="S11" s="8"/>
      <c r="T11" s="8"/>
      <c r="U11" s="8"/>
    </row>
    <row r="12" spans="1:21" x14ac:dyDescent="0.25">
      <c r="A12" s="38" t="s">
        <v>72</v>
      </c>
      <c r="B12" s="8">
        <f>'64x8061 (36T)'!I23</f>
        <v>29284.655378065789</v>
      </c>
      <c r="C12" s="8">
        <f>'64x8061 (36T)'!A23</f>
        <v>9413.8746219342102</v>
      </c>
      <c r="D12" s="8">
        <f>'64x8061 (36T)'!I38</f>
        <v>19523.601522724002</v>
      </c>
      <c r="E12" s="8">
        <f>'64x8061 (36T)'!A38</f>
        <v>7137.1184772759998</v>
      </c>
      <c r="R12" s="8"/>
      <c r="S12" s="8"/>
      <c r="T12" s="8"/>
      <c r="U12" s="8"/>
    </row>
    <row r="13" spans="1:21" x14ac:dyDescent="0.25">
      <c r="A13" s="38" t="s">
        <v>73</v>
      </c>
      <c r="B13" s="8">
        <f>'64x8061 (36T)'!I24</f>
        <v>29189.06039779196</v>
      </c>
      <c r="C13" s="8">
        <f>'64x8061 (36T)'!A24</f>
        <v>9458.1196022080403</v>
      </c>
      <c r="D13" s="8">
        <f>'64x8061 (36T)'!I39</f>
        <v>19568.608170333831</v>
      </c>
      <c r="E13" s="8">
        <f>'64x8061 (36T)'!A39</f>
        <v>7243.4818296661697</v>
      </c>
      <c r="R13" s="8"/>
      <c r="S13" s="8"/>
      <c r="T13" s="8"/>
      <c r="U13" s="8"/>
    </row>
    <row r="14" spans="1:21" x14ac:dyDescent="0.25">
      <c r="A14" s="38" t="s">
        <v>74</v>
      </c>
      <c r="B14" s="8">
        <f>'64x8061 (36T)'!I25</f>
        <v>29273.976697845268</v>
      </c>
      <c r="C14" s="8">
        <f>'64x8061 (36T)'!A25</f>
        <v>9384.3833021547307</v>
      </c>
      <c r="D14" s="8">
        <f>'64x8061 (36T)'!I40</f>
        <v>19536.30239245094</v>
      </c>
      <c r="E14" s="8">
        <f>'64x8061 (36T)'!A40</f>
        <v>7159.39760754906</v>
      </c>
      <c r="R14" s="8"/>
      <c r="S14" s="8"/>
      <c r="T14" s="8"/>
      <c r="U14" s="8"/>
    </row>
    <row r="15" spans="1:21" x14ac:dyDescent="0.25">
      <c r="A15" s="38" t="s">
        <v>75</v>
      </c>
      <c r="B15" s="8">
        <f>'64x8061 (36T)'!I26</f>
        <v>29188.601650466138</v>
      </c>
      <c r="C15" s="8">
        <f>'64x8061 (36T)'!A26</f>
        <v>9495.8883495338596</v>
      </c>
      <c r="D15" s="8">
        <f>'64x8061 (36T)'!I41</f>
        <v>19548.75802870639</v>
      </c>
      <c r="E15" s="8">
        <f>'64x8061 (36T)'!A41</f>
        <v>7243.8819712936101</v>
      </c>
    </row>
    <row r="19" spans="1:3" x14ac:dyDescent="0.25">
      <c r="A19" s="2" t="s">
        <v>76</v>
      </c>
    </row>
    <row r="20" spans="1:3" x14ac:dyDescent="0.25">
      <c r="A20" s="73" t="s">
        <v>71</v>
      </c>
      <c r="B20" s="21" t="s">
        <v>77</v>
      </c>
      <c r="C20" s="21" t="s">
        <v>78</v>
      </c>
    </row>
    <row r="21" spans="1:3" x14ac:dyDescent="0.25">
      <c r="A21" s="71" t="s">
        <v>72</v>
      </c>
      <c r="B21" s="8">
        <f>'64x8061 (24T)'!K38</f>
        <v>152.78426821628801</v>
      </c>
      <c r="C21" s="8">
        <f>'64x8061 (24T)'!K23</f>
        <v>230.94506101640201</v>
      </c>
    </row>
    <row r="22" spans="1:3" x14ac:dyDescent="0.25">
      <c r="A22" s="71" t="s">
        <v>73</v>
      </c>
      <c r="B22" s="8">
        <f>'64x8061 (24T)'!K39</f>
        <v>156.973615701499</v>
      </c>
      <c r="C22" s="8">
        <f>'64x8061 (24T)'!K24</f>
        <v>226.55781010787501</v>
      </c>
    </row>
    <row r="23" spans="1:3" x14ac:dyDescent="0.25">
      <c r="A23" s="71" t="s">
        <v>74</v>
      </c>
      <c r="B23" s="8">
        <f>'64x8061 (24T)'!K40</f>
        <v>153.37811725597899</v>
      </c>
      <c r="C23" s="8">
        <f>'64x8061 (24T)'!K25</f>
        <v>230.57412534481401</v>
      </c>
    </row>
    <row r="24" spans="1:3" x14ac:dyDescent="0.25">
      <c r="A24" s="71" t="s">
        <v>75</v>
      </c>
      <c r="B24" s="8">
        <f>'64x8061 (24T)'!K41</f>
        <v>156.42410191796799</v>
      </c>
      <c r="C24" s="8">
        <f>'64x8061 (24T)'!K26</f>
        <v>226.53065244566099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3C63-02B4-43C4-AC3B-EE8E30CD6D22}">
  <dimension ref="A1:X41"/>
  <sheetViews>
    <sheetView zoomScale="70" zoomScaleNormal="70" workbookViewId="0">
      <selection activeCell="F47" sqref="F47"/>
    </sheetView>
  </sheetViews>
  <sheetFormatPr defaultRowHeight="15" x14ac:dyDescent="0.25"/>
  <cols>
    <col min="1" max="2" width="10.42578125" customWidth="1"/>
    <col min="3" max="3" width="13.28515625" customWidth="1"/>
    <col min="4" max="4" width="13.85546875" customWidth="1"/>
    <col min="5" max="5" width="13.5703125" customWidth="1"/>
    <col min="6" max="6" width="25" customWidth="1"/>
    <col min="7" max="7" width="10.42578125" bestFit="1" customWidth="1"/>
    <col min="9" max="9" width="10.5703125" bestFit="1" customWidth="1"/>
    <col min="10" max="10" width="9.7109375" customWidth="1"/>
    <col min="11" max="13" width="11.140625" customWidth="1"/>
    <col min="14" max="14" width="68.42578125" customWidth="1"/>
    <col min="15" max="15" width="26.7109375" customWidth="1"/>
    <col min="16" max="16" width="13.42578125" bestFit="1" customWidth="1"/>
    <col min="17" max="17" width="12.7109375" bestFit="1" customWidth="1"/>
    <col min="18" max="18" width="13.7109375" customWidth="1"/>
    <col min="19" max="19" width="12.85546875" customWidth="1"/>
    <col min="20" max="20" width="13.140625" customWidth="1"/>
    <col min="21" max="21" width="11.42578125" customWidth="1"/>
  </cols>
  <sheetData>
    <row r="1" spans="1:24" ht="45" x14ac:dyDescent="0.25">
      <c r="A1" s="1" t="s">
        <v>47</v>
      </c>
      <c r="B1" s="21" t="s">
        <v>37</v>
      </c>
      <c r="C1" s="21" t="s">
        <v>22</v>
      </c>
      <c r="D1" s="21" t="s">
        <v>19</v>
      </c>
      <c r="E1" s="21" t="s">
        <v>36</v>
      </c>
      <c r="F1" s="5" t="s">
        <v>0</v>
      </c>
      <c r="G1" s="5" t="s">
        <v>1</v>
      </c>
      <c r="H1" s="5" t="s">
        <v>17</v>
      </c>
      <c r="I1" s="5" t="s">
        <v>14</v>
      </c>
      <c r="J1" s="5" t="s">
        <v>53</v>
      </c>
      <c r="K1" s="5" t="s">
        <v>15</v>
      </c>
      <c r="L1" s="5" t="s">
        <v>16</v>
      </c>
      <c r="M1" s="5" t="s">
        <v>18</v>
      </c>
      <c r="N1" s="5" t="s">
        <v>45</v>
      </c>
      <c r="O1" s="3" t="s">
        <v>20</v>
      </c>
      <c r="P1" s="1" t="s">
        <v>54</v>
      </c>
      <c r="Q1" s="1" t="s">
        <v>52</v>
      </c>
      <c r="R1" s="1" t="s">
        <v>46</v>
      </c>
      <c r="S1" s="1" t="s">
        <v>36</v>
      </c>
      <c r="T1" s="1" t="s">
        <v>55</v>
      </c>
      <c r="U1" s="1" t="s">
        <v>66</v>
      </c>
      <c r="V1" s="1" t="s">
        <v>65</v>
      </c>
      <c r="W1" s="1" t="s">
        <v>64</v>
      </c>
      <c r="X1" s="1" t="s">
        <v>67</v>
      </c>
    </row>
    <row r="2" spans="1:24" x14ac:dyDescent="0.25">
      <c r="C2" s="13"/>
      <c r="D2" s="13"/>
      <c r="E2" s="13"/>
      <c r="F2" s="5"/>
      <c r="G2" s="5"/>
      <c r="H2" s="5"/>
      <c r="I2" s="22"/>
      <c r="J2" s="22"/>
      <c r="K2" s="22" t="s">
        <v>51</v>
      </c>
      <c r="L2" s="22"/>
      <c r="M2" s="22"/>
      <c r="N2" s="6" t="s">
        <v>51</v>
      </c>
      <c r="O2" s="3"/>
      <c r="Q2" s="27"/>
      <c r="R2" s="27"/>
      <c r="S2" s="27"/>
      <c r="T2" s="27"/>
      <c r="V2">
        <v>1.02</v>
      </c>
    </row>
    <row r="3" spans="1:24" x14ac:dyDescent="0.25">
      <c r="B3" s="13">
        <f>I3</f>
        <v>9355.3383829498125</v>
      </c>
      <c r="C3" s="13">
        <v>0</v>
      </c>
      <c r="D3" s="13">
        <v>21017</v>
      </c>
      <c r="E3" s="13">
        <v>9648</v>
      </c>
      <c r="F3" s="1" t="s">
        <v>13</v>
      </c>
      <c r="G3" s="1">
        <v>51.2</v>
      </c>
      <c r="H3" s="4">
        <v>-0.64</v>
      </c>
      <c r="I3" s="17">
        <v>9355.3383829498125</v>
      </c>
      <c r="J3" s="8">
        <v>632</v>
      </c>
      <c r="K3" s="8">
        <v>93.534957786527201</v>
      </c>
      <c r="L3" s="8"/>
      <c r="M3" s="8"/>
      <c r="N3" s="6"/>
      <c r="O3" s="3"/>
      <c r="P3" s="17"/>
      <c r="Q3" s="28"/>
      <c r="R3" s="28"/>
      <c r="S3" s="28"/>
      <c r="T3" s="28"/>
    </row>
    <row r="4" spans="1:24" x14ac:dyDescent="0.25">
      <c r="B4" s="13">
        <f t="shared" ref="B4:B11" si="0">I4</f>
        <v>9408.6607109964589</v>
      </c>
      <c r="C4" s="13">
        <v>0</v>
      </c>
      <c r="D4" s="13">
        <v>21017</v>
      </c>
      <c r="E4" s="13">
        <v>9648</v>
      </c>
      <c r="F4" s="1" t="s">
        <v>2</v>
      </c>
      <c r="G4" s="1">
        <v>51.2</v>
      </c>
      <c r="H4" s="4">
        <v>-0.64</v>
      </c>
      <c r="I4" s="17">
        <v>9408.6607109964589</v>
      </c>
      <c r="J4" s="17">
        <v>623</v>
      </c>
      <c r="K4" s="8">
        <v>90.771386189597195</v>
      </c>
      <c r="L4" s="8"/>
      <c r="M4" s="8"/>
      <c r="N4" s="7"/>
      <c r="O4" s="3"/>
      <c r="P4" s="17"/>
      <c r="Q4" s="28"/>
      <c r="R4" s="28"/>
      <c r="S4" s="28"/>
      <c r="T4" s="28"/>
    </row>
    <row r="5" spans="1:24" x14ac:dyDescent="0.25">
      <c r="B5" s="13">
        <f t="shared" si="0"/>
        <v>9344.5215456123915</v>
      </c>
      <c r="C5" s="13">
        <v>0</v>
      </c>
      <c r="D5" s="13">
        <v>21017</v>
      </c>
      <c r="E5" s="13">
        <v>9648</v>
      </c>
      <c r="F5" s="1" t="s">
        <v>3</v>
      </c>
      <c r="G5" s="1">
        <v>51.2</v>
      </c>
      <c r="H5" s="4">
        <v>-0.64</v>
      </c>
      <c r="I5" s="8">
        <v>9344.5215456123915</v>
      </c>
      <c r="J5" s="8">
        <v>617</v>
      </c>
      <c r="K5" s="8">
        <v>93.288532217004104</v>
      </c>
      <c r="L5" s="8"/>
      <c r="M5" s="8"/>
      <c r="N5" s="7"/>
      <c r="O5" s="16"/>
      <c r="P5" s="17"/>
      <c r="Q5" s="28"/>
      <c r="R5" s="28"/>
      <c r="S5" s="28"/>
      <c r="T5" s="28"/>
    </row>
    <row r="6" spans="1:24" x14ac:dyDescent="0.25">
      <c r="B6" s="13">
        <f t="shared" si="0"/>
        <v>9417.8182813795975</v>
      </c>
      <c r="C6" s="13">
        <v>0</v>
      </c>
      <c r="D6" s="13">
        <v>21017</v>
      </c>
      <c r="E6" s="13">
        <v>9648</v>
      </c>
      <c r="F6" s="1" t="s">
        <v>4</v>
      </c>
      <c r="G6" s="1">
        <v>51.2</v>
      </c>
      <c r="H6" s="4">
        <v>-0.64</v>
      </c>
      <c r="I6" s="17">
        <v>9417.8182813795975</v>
      </c>
      <c r="J6" s="17">
        <v>630</v>
      </c>
      <c r="K6" s="8">
        <v>90.817827249637006</v>
      </c>
      <c r="L6" s="8"/>
      <c r="M6" s="8"/>
      <c r="N6" s="7"/>
      <c r="O6" s="16"/>
      <c r="P6" s="17"/>
      <c r="Q6" s="28"/>
      <c r="R6" s="28"/>
      <c r="S6" s="28"/>
      <c r="T6" s="28"/>
    </row>
    <row r="7" spans="1:24" x14ac:dyDescent="0.25">
      <c r="B7" s="13"/>
      <c r="C7" s="13"/>
      <c r="D7" s="13"/>
      <c r="E7" s="13"/>
      <c r="F7" s="1"/>
      <c r="G7" s="1"/>
      <c r="H7" s="4"/>
      <c r="I7" s="17"/>
      <c r="J7" s="17"/>
      <c r="K7" s="8"/>
      <c r="L7" s="8"/>
      <c r="M7" s="8"/>
      <c r="N7" s="7"/>
      <c r="O7" s="16"/>
      <c r="P7" s="17"/>
      <c r="Q7" s="27"/>
      <c r="R7" s="27"/>
      <c r="S7" s="27"/>
      <c r="T7" s="27"/>
    </row>
    <row r="8" spans="1:24" x14ac:dyDescent="0.25">
      <c r="B8" s="13">
        <f>I8</f>
        <v>7123.3300259836597</v>
      </c>
      <c r="C8" s="13">
        <v>0</v>
      </c>
      <c r="D8" s="13">
        <v>21017</v>
      </c>
      <c r="E8" s="13">
        <v>9648</v>
      </c>
      <c r="F8" s="5" t="s">
        <v>13</v>
      </c>
      <c r="G8" s="1">
        <v>28.5</v>
      </c>
      <c r="H8" s="1">
        <v>-0.36</v>
      </c>
      <c r="I8" s="8">
        <v>7123.3300259836597</v>
      </c>
      <c r="J8" s="8">
        <v>503</v>
      </c>
      <c r="K8" s="8">
        <v>73.989263462492005</v>
      </c>
      <c r="L8" s="8"/>
      <c r="M8" s="8"/>
      <c r="N8" s="7"/>
      <c r="O8" s="16"/>
      <c r="P8" s="17"/>
      <c r="Q8" s="28"/>
      <c r="R8" s="28"/>
      <c r="S8" s="28"/>
      <c r="T8" s="28"/>
    </row>
    <row r="9" spans="1:24" x14ac:dyDescent="0.25">
      <c r="B9" s="13">
        <f t="shared" si="0"/>
        <v>7172.2122603736698</v>
      </c>
      <c r="C9" s="13">
        <v>0</v>
      </c>
      <c r="D9" s="13">
        <v>21017</v>
      </c>
      <c r="E9" s="13">
        <v>9648</v>
      </c>
      <c r="F9" s="1" t="s">
        <v>2</v>
      </c>
      <c r="G9" s="1">
        <v>28.5</v>
      </c>
      <c r="H9" s="1">
        <v>-0.36</v>
      </c>
      <c r="I9" s="8">
        <v>7172.2122603736698</v>
      </c>
      <c r="J9" s="8">
        <v>476</v>
      </c>
      <c r="K9" s="8">
        <v>69.478491863806894</v>
      </c>
      <c r="L9" s="8"/>
      <c r="M9" s="8"/>
      <c r="O9" s="16"/>
      <c r="P9" s="17"/>
      <c r="Q9" s="28"/>
      <c r="R9" s="28"/>
      <c r="S9" s="28"/>
      <c r="T9" s="28"/>
    </row>
    <row r="10" spans="1:24" x14ac:dyDescent="0.25">
      <c r="B10" s="13">
        <f t="shared" si="0"/>
        <v>7107.9141589435894</v>
      </c>
      <c r="C10" s="13">
        <v>0</v>
      </c>
      <c r="D10" s="13">
        <v>21017</v>
      </c>
      <c r="E10" s="13">
        <v>9648</v>
      </c>
      <c r="F10" s="1" t="s">
        <v>3</v>
      </c>
      <c r="G10" s="1">
        <v>28.5</v>
      </c>
      <c r="H10" s="1">
        <v>-0.36</v>
      </c>
      <c r="I10" s="17">
        <v>7107.9141589435894</v>
      </c>
      <c r="J10" s="17">
        <v>504</v>
      </c>
      <c r="K10" s="8">
        <v>73.922654913523701</v>
      </c>
      <c r="L10" s="8"/>
      <c r="M10" s="8"/>
      <c r="O10" s="16"/>
      <c r="P10" s="17"/>
      <c r="Q10" s="28"/>
      <c r="R10" s="28"/>
      <c r="S10" s="28"/>
      <c r="T10" s="28"/>
    </row>
    <row r="11" spans="1:24" x14ac:dyDescent="0.25">
      <c r="B11" s="13">
        <f t="shared" si="0"/>
        <v>7173.5839751902095</v>
      </c>
      <c r="C11" s="13">
        <v>0</v>
      </c>
      <c r="D11" s="13">
        <v>21017</v>
      </c>
      <c r="E11" s="13">
        <v>9648</v>
      </c>
      <c r="F11" s="1" t="s">
        <v>4</v>
      </c>
      <c r="G11" s="1">
        <v>28.5</v>
      </c>
      <c r="H11" s="1">
        <v>-0.36</v>
      </c>
      <c r="I11" s="8">
        <v>7173.5839751902095</v>
      </c>
      <c r="J11" s="8">
        <v>465</v>
      </c>
      <c r="K11" s="8">
        <v>69.432160181975604</v>
      </c>
      <c r="L11" s="8"/>
      <c r="M11" s="8"/>
      <c r="N11" s="7"/>
      <c r="O11" s="16"/>
      <c r="P11" s="17"/>
      <c r="Q11" s="28"/>
      <c r="R11" s="28"/>
      <c r="S11" s="28"/>
      <c r="T11" s="28"/>
    </row>
    <row r="12" spans="1:24" x14ac:dyDescent="0.25">
      <c r="C12" s="13"/>
      <c r="D12" s="13"/>
      <c r="E12" s="13"/>
      <c r="F12" s="1"/>
      <c r="G12" s="1"/>
      <c r="H12" s="1"/>
      <c r="I12" s="20"/>
      <c r="J12" s="20"/>
      <c r="L12" s="20"/>
      <c r="M12" s="20"/>
      <c r="N12" s="20" t="s">
        <v>48</v>
      </c>
      <c r="O12" s="16"/>
      <c r="Q12" s="11"/>
      <c r="R12" s="11"/>
      <c r="S12" s="11"/>
    </row>
    <row r="13" spans="1:24" x14ac:dyDescent="0.25">
      <c r="A13" s="12">
        <v>6036.76583956792</v>
      </c>
      <c r="B13" s="13">
        <v>9355.3383829498125</v>
      </c>
      <c r="C13" s="13">
        <v>36000</v>
      </c>
      <c r="D13" s="13">
        <v>57017</v>
      </c>
      <c r="E13" s="13">
        <v>33747.686545817749</v>
      </c>
      <c r="F13" s="1" t="s">
        <v>13</v>
      </c>
      <c r="G13" s="1">
        <v>51.2</v>
      </c>
      <c r="H13" s="4">
        <v>-0.64</v>
      </c>
      <c r="I13" s="17">
        <v>27710.924160432081</v>
      </c>
      <c r="J13" s="12">
        <v>1740</v>
      </c>
      <c r="K13" s="17">
        <v>266.86102519858099</v>
      </c>
      <c r="L13" s="17">
        <v>4.9040035094838598E-2</v>
      </c>
      <c r="M13" s="17">
        <v>3.1634731620873997E-2</v>
      </c>
      <c r="N13" s="12"/>
      <c r="O13" s="26"/>
      <c r="P13" s="17">
        <f>B13</f>
        <v>9355.3383829498125</v>
      </c>
      <c r="Q13" s="28"/>
      <c r="R13" s="17">
        <f>P13-Q13</f>
        <v>9355.3383829498125</v>
      </c>
      <c r="S13" s="8">
        <v>19103</v>
      </c>
      <c r="T13" s="17">
        <f>IF(R13&gt;0,R13+S13,0)</f>
        <v>28458.338382949813</v>
      </c>
      <c r="U13" s="8">
        <f>S13+X13</f>
        <v>33747.686545817749</v>
      </c>
      <c r="W13">
        <f>R13*(1+Factor_8060)</f>
        <v>11704.956136114202</v>
      </c>
      <c r="X13">
        <f>W13*(1+Factor_8060)</f>
        <v>14644.686545817753</v>
      </c>
    </row>
    <row r="14" spans="1:24" x14ac:dyDescent="0.25">
      <c r="A14" s="12">
        <v>6180.4580776839102</v>
      </c>
      <c r="B14" s="13">
        <v>9408.6607109964589</v>
      </c>
      <c r="C14" s="13">
        <v>36000</v>
      </c>
      <c r="D14" s="13">
        <v>57017</v>
      </c>
      <c r="E14" s="13">
        <v>33831.156405289599</v>
      </c>
      <c r="F14" s="1" t="s">
        <v>2</v>
      </c>
      <c r="G14" s="1">
        <v>51.2</v>
      </c>
      <c r="H14" s="4">
        <v>-0.64</v>
      </c>
      <c r="I14" s="17">
        <v>27650.701922316093</v>
      </c>
      <c r="J14" s="12">
        <v>1651</v>
      </c>
      <c r="K14" s="17">
        <v>267.72272184711198</v>
      </c>
      <c r="L14" s="17">
        <v>4.9106699756022498E-2</v>
      </c>
      <c r="M14" s="17">
        <v>3.14450782146952E-2</v>
      </c>
      <c r="N14" s="12"/>
      <c r="O14" s="26"/>
      <c r="P14" s="17">
        <f>B14</f>
        <v>9408.6607109964589</v>
      </c>
      <c r="Q14" s="28"/>
      <c r="R14" s="17">
        <f>P14-Q14</f>
        <v>9408.6607109964589</v>
      </c>
      <c r="S14" s="8">
        <v>19103</v>
      </c>
      <c r="T14" s="17">
        <f t="shared" ref="T14:T21" si="1">IF(R14&gt;0,R14+S14,0)</f>
        <v>28511.660710996461</v>
      </c>
      <c r="U14" s="8">
        <f>S14+X14</f>
        <v>33831.156405289599</v>
      </c>
      <c r="W14">
        <f>R14*(1+Factor_8060)</f>
        <v>11771.670506595872</v>
      </c>
      <c r="X14">
        <f>W14*(1+Factor_8060)</f>
        <v>14728.156405289601</v>
      </c>
    </row>
    <row r="15" spans="1:24" x14ac:dyDescent="0.25">
      <c r="A15" s="17">
        <v>6041.5216655396098</v>
      </c>
      <c r="B15" s="13">
        <v>9344.5215456123915</v>
      </c>
      <c r="C15" s="13">
        <v>36000</v>
      </c>
      <c r="D15" s="13">
        <v>57017</v>
      </c>
      <c r="E15" s="13">
        <v>33730.754053828758</v>
      </c>
      <c r="F15" s="1" t="s">
        <v>3</v>
      </c>
      <c r="G15" s="1">
        <v>51.2</v>
      </c>
      <c r="H15" s="4">
        <v>-0.64</v>
      </c>
      <c r="I15" s="17">
        <v>27689.228334460389</v>
      </c>
      <c r="J15" s="12">
        <v>1702</v>
      </c>
      <c r="K15" s="17">
        <v>266.178951753896</v>
      </c>
      <c r="L15" s="17">
        <v>5.9758141448028497E-2</v>
      </c>
      <c r="M15" s="17">
        <v>3.1873125056715003E-2</v>
      </c>
      <c r="N15" s="12"/>
      <c r="O15" s="26"/>
      <c r="P15" s="17">
        <f>B15</f>
        <v>9344.5215456123915</v>
      </c>
      <c r="Q15" s="28"/>
      <c r="R15" s="17">
        <f>P15-Q15</f>
        <v>9344.5215456123915</v>
      </c>
      <c r="S15" s="8">
        <v>19103</v>
      </c>
      <c r="T15" s="17">
        <f t="shared" si="1"/>
        <v>28447.521545612391</v>
      </c>
      <c r="U15" s="8">
        <f>S15+X15</f>
        <v>33730.754053828758</v>
      </c>
      <c r="W15">
        <f>R15*(1+Factor_8060)</f>
        <v>11691.422621730935</v>
      </c>
      <c r="X15">
        <f>W15*(1+Factor_8060)</f>
        <v>14627.754053828759</v>
      </c>
    </row>
    <row r="16" spans="1:24" x14ac:dyDescent="0.25">
      <c r="A16" s="12">
        <v>6174.21464029054</v>
      </c>
      <c r="B16" s="13">
        <v>9417.8182813795975</v>
      </c>
      <c r="C16" s="13">
        <v>36000</v>
      </c>
      <c r="D16" s="13">
        <v>57017</v>
      </c>
      <c r="E16" s="13">
        <v>33845.491509194209</v>
      </c>
      <c r="F16" s="1" t="s">
        <v>4</v>
      </c>
      <c r="G16" s="1">
        <v>51.2</v>
      </c>
      <c r="H16" s="4">
        <v>-0.64</v>
      </c>
      <c r="I16" s="17">
        <v>27671.275359709456</v>
      </c>
      <c r="J16" s="12">
        <v>1668</v>
      </c>
      <c r="K16" s="17">
        <v>268.21328783991299</v>
      </c>
      <c r="L16" s="13">
        <v>4.4741987188687798E-2</v>
      </c>
      <c r="M16" s="17">
        <v>3.3906019112731202E-2</v>
      </c>
      <c r="N16" s="12"/>
      <c r="O16" s="26"/>
      <c r="P16" s="17">
        <f>B16</f>
        <v>9417.8182813795975</v>
      </c>
      <c r="Q16" s="28"/>
      <c r="R16" s="17">
        <f>P16-Q16</f>
        <v>9417.8182813795975</v>
      </c>
      <c r="S16" s="8">
        <v>19103</v>
      </c>
      <c r="T16" s="17">
        <f t="shared" si="1"/>
        <v>28520.818281379597</v>
      </c>
      <c r="U16" s="8">
        <f>S16+X16</f>
        <v>33845.491509194209</v>
      </c>
      <c r="W16">
        <f>R16*(1+Factor_8060)</f>
        <v>11783.128024780715</v>
      </c>
      <c r="X16">
        <f>W16*(1+Factor_8060)</f>
        <v>14742.491509194206</v>
      </c>
    </row>
    <row r="17" spans="1:24" x14ac:dyDescent="0.25">
      <c r="B17" s="13"/>
      <c r="C17" s="13"/>
      <c r="D17" s="13"/>
      <c r="E17" s="13"/>
      <c r="F17" s="1"/>
      <c r="G17" s="1"/>
      <c r="H17" s="4"/>
      <c r="I17" s="17"/>
      <c r="J17" s="17"/>
      <c r="K17" s="17"/>
      <c r="L17" s="17"/>
      <c r="M17" s="17"/>
      <c r="N17" s="7"/>
      <c r="O17" s="16"/>
      <c r="P17" s="17"/>
      <c r="Q17" s="28"/>
      <c r="R17" s="17"/>
      <c r="S17" s="8"/>
      <c r="T17" s="8"/>
    </row>
    <row r="18" spans="1:24" x14ac:dyDescent="0.25">
      <c r="A18" s="17">
        <v>9888.4813140669303</v>
      </c>
      <c r="B18" s="13">
        <v>7123.3300259836597</v>
      </c>
      <c r="C18" s="13">
        <v>36000</v>
      </c>
      <c r="D18" s="13">
        <v>57017</v>
      </c>
      <c r="E18" s="13">
        <v>30253.738874722556</v>
      </c>
      <c r="F18" s="5" t="s">
        <v>13</v>
      </c>
      <c r="G18" s="1">
        <v>28.5</v>
      </c>
      <c r="H18" s="1">
        <v>-0.36</v>
      </c>
      <c r="I18" s="17">
        <v>20365.25868593307</v>
      </c>
      <c r="J18" s="25">
        <v>1354</v>
      </c>
      <c r="K18" s="17">
        <v>209.30297093433501</v>
      </c>
      <c r="L18" s="17">
        <v>4.5960334902958699E-2</v>
      </c>
      <c r="M18" s="17">
        <v>0.12052023876441301</v>
      </c>
      <c r="N18" s="7"/>
      <c r="O18" s="26"/>
      <c r="P18" s="17">
        <f>B18</f>
        <v>7123.3300259836597</v>
      </c>
      <c r="Q18" s="28"/>
      <c r="R18" s="17">
        <f t="shared" ref="R18:R21" si="2">P18-Q18</f>
        <v>7123.3300259836597</v>
      </c>
      <c r="S18" s="8">
        <v>19103</v>
      </c>
      <c r="T18" s="17">
        <f t="shared" si="1"/>
        <v>26226.330025983661</v>
      </c>
      <c r="U18" s="8">
        <f>S18+X18</f>
        <v>30253.738874722556</v>
      </c>
      <c r="W18">
        <f>R18*(1+Factor_8060)</f>
        <v>8912.3730306924663</v>
      </c>
      <c r="X18">
        <f>W18*(1+Factor_8060)</f>
        <v>11150.738874722556</v>
      </c>
    </row>
    <row r="19" spans="1:24" x14ac:dyDescent="0.25">
      <c r="A19" s="12">
        <v>9973.9331609463297</v>
      </c>
      <c r="B19" s="13">
        <v>7172.2122603736698</v>
      </c>
      <c r="C19" s="13">
        <v>36000</v>
      </c>
      <c r="D19" s="13">
        <v>57017</v>
      </c>
      <c r="E19" s="13">
        <v>30330.258287596553</v>
      </c>
      <c r="F19" s="1" t="s">
        <v>2</v>
      </c>
      <c r="G19" s="1">
        <v>28.5</v>
      </c>
      <c r="H19" s="46">
        <v>-0.36</v>
      </c>
      <c r="I19" s="17">
        <v>20356.326839053669</v>
      </c>
      <c r="J19" s="25">
        <v>1354</v>
      </c>
      <c r="K19" s="17">
        <v>207.19981246582</v>
      </c>
      <c r="L19" s="30">
        <v>4.8038396558335403E-2</v>
      </c>
      <c r="M19" s="17">
        <v>0.111536477232706</v>
      </c>
      <c r="N19" s="7"/>
      <c r="O19" s="26"/>
      <c r="P19" s="17">
        <f>B19</f>
        <v>7172.2122603736698</v>
      </c>
      <c r="Q19" s="28"/>
      <c r="R19" s="17">
        <f t="shared" si="2"/>
        <v>7172.2122603736698</v>
      </c>
      <c r="S19" s="8">
        <v>19103</v>
      </c>
      <c r="T19" s="17">
        <f t="shared" si="1"/>
        <v>26275.212260373672</v>
      </c>
      <c r="U19" s="8">
        <f>S19+X19</f>
        <v>30330.258287596553</v>
      </c>
      <c r="W19">
        <f>R19*(1+Factor_8060)</f>
        <v>8973.5321663591258</v>
      </c>
      <c r="X19">
        <f>W19*(1+Factor_8060)</f>
        <v>11227.258287596555</v>
      </c>
    </row>
    <row r="20" spans="1:24" x14ac:dyDescent="0.25">
      <c r="A20" s="12">
        <v>9868.5293025422798</v>
      </c>
      <c r="B20" s="13">
        <v>7107.9141589435894</v>
      </c>
      <c r="C20" s="13">
        <v>36000</v>
      </c>
      <c r="D20" s="13">
        <v>57017</v>
      </c>
      <c r="E20" s="13">
        <v>30229.607140370194</v>
      </c>
      <c r="F20" s="1" t="s">
        <v>3</v>
      </c>
      <c r="G20" s="1">
        <v>28.5</v>
      </c>
      <c r="H20" s="1">
        <v>-0.36</v>
      </c>
      <c r="I20" s="17">
        <v>20361.080697457721</v>
      </c>
      <c r="J20" s="25">
        <v>1352</v>
      </c>
      <c r="K20" s="17">
        <v>209.30311824574801</v>
      </c>
      <c r="L20" s="17">
        <v>4.8345900494726798E-2</v>
      </c>
      <c r="M20" s="17">
        <v>0.115286774516152</v>
      </c>
      <c r="N20" s="7"/>
      <c r="O20" s="26"/>
      <c r="P20" s="17">
        <f>B20</f>
        <v>7107.9141589435894</v>
      </c>
      <c r="Q20" s="28"/>
      <c r="R20" s="17">
        <f t="shared" si="2"/>
        <v>7107.9141589435894</v>
      </c>
      <c r="S20" s="8">
        <v>19103</v>
      </c>
      <c r="T20" s="17">
        <f t="shared" si="1"/>
        <v>26210.914158943589</v>
      </c>
      <c r="U20" s="8">
        <f>S20+X20</f>
        <v>30229.607140370194</v>
      </c>
      <c r="W20">
        <f>R20*(1+Factor_8060)</f>
        <v>8893.0854282436831</v>
      </c>
      <c r="X20">
        <f>W20*(1+Factor_8060)</f>
        <v>11126.607140370192</v>
      </c>
    </row>
    <row r="21" spans="1:24" x14ac:dyDescent="0.25">
      <c r="A21" s="12">
        <v>9997.8126833835795</v>
      </c>
      <c r="B21" s="13">
        <v>7173.5839751902095</v>
      </c>
      <c r="C21" s="13">
        <v>36000</v>
      </c>
      <c r="D21" s="13">
        <v>57017</v>
      </c>
      <c r="E21" s="13">
        <v>30332.405546487273</v>
      </c>
      <c r="F21" s="1" t="s">
        <v>4</v>
      </c>
      <c r="G21" s="1">
        <v>28.5</v>
      </c>
      <c r="H21" s="46">
        <v>-0.36</v>
      </c>
      <c r="I21" s="17">
        <v>20334.597316616419</v>
      </c>
      <c r="J21" s="25">
        <v>1352</v>
      </c>
      <c r="K21" s="17">
        <v>206.597561796148</v>
      </c>
      <c r="L21" s="30">
        <v>4.84756587546461E-2</v>
      </c>
      <c r="M21" s="17">
        <v>0.117840524880653</v>
      </c>
      <c r="N21" s="7"/>
      <c r="O21" s="26"/>
      <c r="P21" s="17">
        <f>B21</f>
        <v>7173.5839751902095</v>
      </c>
      <c r="Q21" s="28"/>
      <c r="R21" s="17">
        <f t="shared" si="2"/>
        <v>7173.5839751902095</v>
      </c>
      <c r="S21" s="8">
        <v>19103</v>
      </c>
      <c r="T21" s="17">
        <f t="shared" si="1"/>
        <v>26276.583975190209</v>
      </c>
      <c r="U21" s="8">
        <f>S21+X21</f>
        <v>30332.405546487273</v>
      </c>
      <c r="W21">
        <f>R21*(1+Factor_8060)</f>
        <v>8975.248390946801</v>
      </c>
      <c r="X21">
        <f>W21*(1+Factor_8060)</f>
        <v>11229.405546487271</v>
      </c>
    </row>
    <row r="22" spans="1:24" x14ac:dyDescent="0.25">
      <c r="C22" s="13"/>
      <c r="D22" s="13"/>
      <c r="E22" s="13"/>
      <c r="F22" s="1"/>
      <c r="G22" s="1"/>
      <c r="H22" s="1"/>
      <c r="I22" s="20"/>
      <c r="J22" s="20"/>
      <c r="L22" s="20"/>
      <c r="M22" s="23"/>
      <c r="N22" s="20" t="s">
        <v>49</v>
      </c>
      <c r="O22" s="16"/>
      <c r="P22" s="17"/>
      <c r="Q22" s="8"/>
      <c r="R22" s="17"/>
      <c r="S22" s="8"/>
      <c r="T22" s="8"/>
    </row>
    <row r="23" spans="1:24" s="12" customFormat="1" x14ac:dyDescent="0.25">
      <c r="A23" s="63">
        <v>9413.8746219342102</v>
      </c>
      <c r="B23" s="13">
        <v>9355.3383829498125</v>
      </c>
      <c r="C23" s="13">
        <v>36000</v>
      </c>
      <c r="D23" s="13">
        <v>57017</v>
      </c>
      <c r="E23" s="13">
        <v>38698.527023441908</v>
      </c>
      <c r="F23" s="1" t="s">
        <v>13</v>
      </c>
      <c r="G23" s="1">
        <v>51.2</v>
      </c>
      <c r="H23" s="4">
        <v>-0.64</v>
      </c>
      <c r="I23" s="63">
        <v>29284.655378065789</v>
      </c>
      <c r="J23" s="64">
        <v>1843</v>
      </c>
      <c r="K23" s="63">
        <v>288.17120951752401</v>
      </c>
      <c r="L23" s="63">
        <v>4.8333119255423898E-2</v>
      </c>
      <c r="M23" s="63">
        <v>3.2356674216421903E-2</v>
      </c>
      <c r="O23" s="26"/>
      <c r="P23" s="33">
        <f>B23</f>
        <v>9355.3383829498125</v>
      </c>
      <c r="Q23" s="33">
        <f>A13</f>
        <v>6036.76583956792</v>
      </c>
      <c r="R23" s="33">
        <f>P23-Q23</f>
        <v>3318.5725433818925</v>
      </c>
      <c r="S23" s="33">
        <f>E13</f>
        <v>33747.686545817749</v>
      </c>
      <c r="T23" s="33">
        <f t="shared" ref="T23:T31" si="3">R23+S23</f>
        <v>37066.259089199644</v>
      </c>
      <c r="U23" s="33">
        <f>S23+X23</f>
        <v>38698.527023441908</v>
      </c>
      <c r="V23" s="33"/>
      <c r="W23" s="31">
        <f t="shared" ref="W23:W31" si="4">R23*(1+Factor8061)</f>
        <v>4053.3595048684292</v>
      </c>
      <c r="X23" s="32">
        <f t="shared" ref="X23:X31" si="5">W23*(1+Factor8061)</f>
        <v>4950.8404776241614</v>
      </c>
    </row>
    <row r="24" spans="1:24" s="12" customFormat="1" x14ac:dyDescent="0.25">
      <c r="A24" s="63">
        <v>9458.1196022080403</v>
      </c>
      <c r="B24" s="13">
        <v>9408.6607109964589</v>
      </c>
      <c r="C24" s="13">
        <v>36000</v>
      </c>
      <c r="D24" s="13">
        <v>57017</v>
      </c>
      <c r="E24" s="13">
        <v>38647.177769309383</v>
      </c>
      <c r="F24" s="1" t="s">
        <v>2</v>
      </c>
      <c r="G24" s="1">
        <v>51.2</v>
      </c>
      <c r="H24" s="4">
        <v>-0.64</v>
      </c>
      <c r="I24" s="63">
        <v>29189.06039779196</v>
      </c>
      <c r="J24" s="64">
        <v>1755</v>
      </c>
      <c r="K24" s="63">
        <v>285.71324924347499</v>
      </c>
      <c r="L24" s="63">
        <v>4.8558524237505403E-2</v>
      </c>
      <c r="M24" s="63">
        <v>3.6583183958815199E-2</v>
      </c>
      <c r="O24" s="26"/>
      <c r="P24" s="33">
        <f>B24</f>
        <v>9408.6607109964589</v>
      </c>
      <c r="Q24" s="33">
        <f>A14</f>
        <v>6180.4580776839102</v>
      </c>
      <c r="R24" s="33">
        <f>P24-Q24</f>
        <v>3228.2026333125486</v>
      </c>
      <c r="S24" s="33">
        <f t="shared" ref="S24:S31" si="6">E14</f>
        <v>33831.156405289599</v>
      </c>
      <c r="T24" s="33">
        <f t="shared" si="3"/>
        <v>37059.359038602146</v>
      </c>
      <c r="U24" s="33">
        <f>S24+X24</f>
        <v>38647.177769309383</v>
      </c>
      <c r="V24" s="33"/>
      <c r="W24" s="31">
        <f t="shared" si="4"/>
        <v>3942.9801989634902</v>
      </c>
      <c r="X24" s="32">
        <f t="shared" si="5"/>
        <v>4816.0213640197862</v>
      </c>
    </row>
    <row r="25" spans="1:24" s="12" customFormat="1" x14ac:dyDescent="0.25">
      <c r="A25" s="64">
        <v>9384.3833021547307</v>
      </c>
      <c r="B25" s="13">
        <v>9344.5215456123915</v>
      </c>
      <c r="C25" s="13">
        <v>36000</v>
      </c>
      <c r="D25" s="13">
        <v>57017</v>
      </c>
      <c r="E25" s="13">
        <v>38658.362322167959</v>
      </c>
      <c r="F25" s="1" t="s">
        <v>3</v>
      </c>
      <c r="G25" s="1">
        <v>51.2</v>
      </c>
      <c r="H25" s="4">
        <v>-0.64</v>
      </c>
      <c r="I25" s="63">
        <v>29273.976697845268</v>
      </c>
      <c r="J25" s="64">
        <v>1811</v>
      </c>
      <c r="K25" s="63">
        <v>287.91533579095199</v>
      </c>
      <c r="L25" s="63">
        <v>4.9709274961413502E-2</v>
      </c>
      <c r="M25" s="63">
        <v>2.3867542786214599E-2</v>
      </c>
      <c r="O25" s="26"/>
      <c r="P25" s="33">
        <f>B25</f>
        <v>9344.5215456123915</v>
      </c>
      <c r="Q25" s="33">
        <f>A15</f>
        <v>6041.5216655396098</v>
      </c>
      <c r="R25" s="33">
        <f>P25-Q25</f>
        <v>3302.9998800727817</v>
      </c>
      <c r="S25" s="33">
        <f t="shared" si="6"/>
        <v>33730.754053828758</v>
      </c>
      <c r="T25" s="33">
        <f t="shared" si="3"/>
        <v>37033.753933901542</v>
      </c>
      <c r="U25" s="33">
        <f>S25+X25</f>
        <v>38658.362322167959</v>
      </c>
      <c r="V25" s="33"/>
      <c r="W25" s="31">
        <f t="shared" si="4"/>
        <v>4034.338795809053</v>
      </c>
      <c r="X25" s="32">
        <f t="shared" si="5"/>
        <v>4927.6082683392042</v>
      </c>
    </row>
    <row r="26" spans="1:24" s="12" customFormat="1" x14ac:dyDescent="0.25">
      <c r="A26" s="63">
        <v>9495.8883495338596</v>
      </c>
      <c r="B26" s="13">
        <v>9417.8182813795975</v>
      </c>
      <c r="C26" s="13">
        <v>36000</v>
      </c>
      <c r="D26" s="13">
        <v>57017</v>
      </c>
      <c r="E26" s="13">
        <v>38684.488996742832</v>
      </c>
      <c r="F26" s="1" t="s">
        <v>4</v>
      </c>
      <c r="G26" s="1">
        <v>51.2</v>
      </c>
      <c r="H26" s="4">
        <v>-0.64</v>
      </c>
      <c r="I26" s="63">
        <v>29188.601650466138</v>
      </c>
      <c r="J26" s="64">
        <v>1770</v>
      </c>
      <c r="K26" s="63">
        <v>286.11113355140702</v>
      </c>
      <c r="L26" s="63">
        <v>4.6707125045402503E-2</v>
      </c>
      <c r="M26" s="63">
        <v>4.7501263362146599E-2</v>
      </c>
      <c r="O26" s="26"/>
      <c r="P26" s="33">
        <f>B26</f>
        <v>9417.8182813795975</v>
      </c>
      <c r="Q26" s="33">
        <f>A16</f>
        <v>6174.21464029054</v>
      </c>
      <c r="R26" s="33">
        <f>P26-Q26</f>
        <v>3243.6036410890574</v>
      </c>
      <c r="S26" s="33">
        <f t="shared" si="6"/>
        <v>33845.491509194209</v>
      </c>
      <c r="T26" s="33">
        <f t="shared" si="3"/>
        <v>37089.095150283269</v>
      </c>
      <c r="U26" s="33">
        <f>S26+X26</f>
        <v>38684.488996742832</v>
      </c>
      <c r="V26" s="33"/>
      <c r="W26" s="31">
        <f t="shared" si="4"/>
        <v>3961.7912451104121</v>
      </c>
      <c r="X26" s="32">
        <f t="shared" si="5"/>
        <v>4838.9974875486214</v>
      </c>
    </row>
    <row r="27" spans="1:24" x14ac:dyDescent="0.25">
      <c r="B27" s="13"/>
      <c r="C27" s="13"/>
      <c r="D27" s="13"/>
      <c r="E27" s="13"/>
      <c r="F27" s="1"/>
      <c r="G27" s="1"/>
      <c r="H27" s="4"/>
      <c r="I27" s="8"/>
      <c r="J27" s="8"/>
      <c r="K27" s="8"/>
      <c r="L27" s="8"/>
      <c r="M27" s="8"/>
      <c r="O27" s="16"/>
      <c r="P27" s="33"/>
      <c r="Q27" s="34"/>
      <c r="R27" s="33"/>
      <c r="S27" s="34"/>
      <c r="T27" s="33"/>
      <c r="U27" s="34"/>
      <c r="V27" s="34"/>
      <c r="W27" s="31">
        <f t="shared" si="4"/>
        <v>0</v>
      </c>
      <c r="X27" s="32">
        <f t="shared" si="5"/>
        <v>0</v>
      </c>
    </row>
    <row r="28" spans="1:24" x14ac:dyDescent="0.25">
      <c r="A28" s="17">
        <v>7299.8626684301698</v>
      </c>
      <c r="B28" s="13">
        <v>7123.3300259836597</v>
      </c>
      <c r="C28" s="13">
        <v>36000</v>
      </c>
      <c r="D28" s="13">
        <v>57017</v>
      </c>
      <c r="E28" s="13">
        <v>26876.337263206329</v>
      </c>
      <c r="F28" s="5" t="s">
        <v>13</v>
      </c>
      <c r="G28" s="1">
        <v>28.5</v>
      </c>
      <c r="H28" s="1">
        <v>-0.36</v>
      </c>
      <c r="I28" s="13">
        <v>19576.477331569829</v>
      </c>
      <c r="J28" s="14">
        <v>1288</v>
      </c>
      <c r="K28" s="13">
        <v>199.585709406848</v>
      </c>
      <c r="L28" s="13">
        <v>4.8914460134627497E-2</v>
      </c>
      <c r="M28" s="17">
        <v>0.10701703415816501</v>
      </c>
      <c r="N28" s="6"/>
      <c r="O28" s="7"/>
      <c r="P28" s="33">
        <f>B28</f>
        <v>7123.3300259836597</v>
      </c>
      <c r="Q28" s="34">
        <f>A18</f>
        <v>9888.4813140669303</v>
      </c>
      <c r="R28" s="33">
        <f t="shared" ref="R28:R31" si="7">P28-Q28</f>
        <v>-2765.1512880832706</v>
      </c>
      <c r="S28" s="34">
        <f t="shared" si="6"/>
        <v>30253.738874722556</v>
      </c>
      <c r="T28" s="33">
        <f t="shared" si="3"/>
        <v>27488.587586639285</v>
      </c>
      <c r="U28" s="34">
        <f>S28+W28</f>
        <v>26876.337263206329</v>
      </c>
      <c r="V28" s="34"/>
      <c r="W28" s="31">
        <f t="shared" si="4"/>
        <v>-3377.4016115162262</v>
      </c>
      <c r="X28" s="32">
        <f t="shared" si="5"/>
        <v>-4125.214303691615</v>
      </c>
    </row>
    <row r="29" spans="1:24" x14ac:dyDescent="0.25">
      <c r="A29" s="17">
        <v>6728.7400037388697</v>
      </c>
      <c r="B29" s="13">
        <v>7172.2122603736698</v>
      </c>
      <c r="C29" s="13">
        <v>36000</v>
      </c>
      <c r="D29" s="13">
        <v>57017</v>
      </c>
      <c r="E29" s="13">
        <v>26150.487298644417</v>
      </c>
      <c r="F29" s="1" t="s">
        <v>2</v>
      </c>
      <c r="G29" s="1">
        <v>28.5</v>
      </c>
      <c r="H29" s="46">
        <v>-0.36</v>
      </c>
      <c r="I29" s="13">
        <v>19421.749996261133</v>
      </c>
      <c r="J29" s="14">
        <v>1278</v>
      </c>
      <c r="K29" s="13">
        <v>194.425031384493</v>
      </c>
      <c r="L29" s="30">
        <v>4.2168089666188097E-2</v>
      </c>
      <c r="M29" s="17">
        <v>8.9898838965037503E-2</v>
      </c>
      <c r="N29" s="7"/>
      <c r="O29" s="7"/>
      <c r="P29" s="33">
        <f>B29</f>
        <v>7172.2122603736698</v>
      </c>
      <c r="Q29" s="34">
        <f t="shared" ref="Q29:Q31" si="8">A19</f>
        <v>9973.9331609463297</v>
      </c>
      <c r="R29" s="33">
        <f t="shared" si="7"/>
        <v>-2801.72090057266</v>
      </c>
      <c r="S29" s="34">
        <f t="shared" si="6"/>
        <v>30330.258287596553</v>
      </c>
      <c r="T29" s="33">
        <f t="shared" si="3"/>
        <v>27528.537387023891</v>
      </c>
      <c r="U29" s="34">
        <f>S29+X29</f>
        <v>26150.487298644417</v>
      </c>
      <c r="V29" s="34"/>
      <c r="W29" s="31">
        <f t="shared" si="4"/>
        <v>-3422.0683422974562</v>
      </c>
      <c r="X29" s="32">
        <f t="shared" si="5"/>
        <v>-4179.7709889521375</v>
      </c>
    </row>
    <row r="30" spans="1:24" x14ac:dyDescent="0.25">
      <c r="A30" s="17">
        <v>6716.0962972312</v>
      </c>
      <c r="B30" s="13">
        <v>7107.9141589435894</v>
      </c>
      <c r="C30" s="13">
        <v>36000</v>
      </c>
      <c r="D30" s="13">
        <v>57017</v>
      </c>
      <c r="E30" s="13">
        <v>26111.160122140336</v>
      </c>
      <c r="F30" s="1" t="s">
        <v>3</v>
      </c>
      <c r="G30" s="1">
        <v>28.5</v>
      </c>
      <c r="H30" s="1">
        <v>-0.36</v>
      </c>
      <c r="I30" s="13">
        <v>19395.063702768799</v>
      </c>
      <c r="J30" s="14">
        <v>1294</v>
      </c>
      <c r="K30" s="13">
        <v>197.75610489675</v>
      </c>
      <c r="L30" s="13">
        <v>4.69315567532161E-2</v>
      </c>
      <c r="M30" s="17">
        <v>0.109015801896722</v>
      </c>
      <c r="N30" s="7"/>
      <c r="O30" s="7"/>
      <c r="P30" s="33">
        <f>B30</f>
        <v>7107.9141589435894</v>
      </c>
      <c r="Q30" s="34">
        <f t="shared" si="8"/>
        <v>9868.5293025422798</v>
      </c>
      <c r="R30" s="33">
        <f t="shared" si="7"/>
        <v>-2760.6151435986903</v>
      </c>
      <c r="S30" s="34">
        <f t="shared" si="6"/>
        <v>30229.607140370194</v>
      </c>
      <c r="T30" s="33">
        <f t="shared" si="3"/>
        <v>27468.991996771503</v>
      </c>
      <c r="U30" s="34">
        <f>S30+X30</f>
        <v>26111.160122140336</v>
      </c>
      <c r="V30" s="34"/>
      <c r="W30" s="31">
        <f t="shared" si="4"/>
        <v>-3371.8610894629419</v>
      </c>
      <c r="X30" s="32">
        <f t="shared" si="5"/>
        <v>-4118.4470182298583</v>
      </c>
    </row>
    <row r="31" spans="1:24" x14ac:dyDescent="0.25">
      <c r="A31" s="17">
        <v>6722.0743477291498</v>
      </c>
      <c r="B31" s="13">
        <v>7173.5839751902095</v>
      </c>
      <c r="C31" s="13">
        <v>36000</v>
      </c>
      <c r="D31" s="13">
        <v>57017</v>
      </c>
      <c r="E31" s="13">
        <v>26119.056094634449</v>
      </c>
      <c r="F31" s="1" t="s">
        <v>4</v>
      </c>
      <c r="G31" s="1">
        <v>28.5</v>
      </c>
      <c r="H31" s="46">
        <v>-0.36</v>
      </c>
      <c r="I31" s="13">
        <v>19396.985652270851</v>
      </c>
      <c r="J31" s="14">
        <v>1272</v>
      </c>
      <c r="K31" s="13">
        <v>193.30626801789501</v>
      </c>
      <c r="L31" s="30">
        <v>4.7781808704563097E-2</v>
      </c>
      <c r="M31" s="17">
        <v>9.2413607072256501E-2</v>
      </c>
      <c r="N31" s="7"/>
      <c r="O31" s="7"/>
      <c r="P31" s="33">
        <f>B31</f>
        <v>7173.5839751902095</v>
      </c>
      <c r="Q31" s="34">
        <f t="shared" si="8"/>
        <v>9997.8126833835795</v>
      </c>
      <c r="R31" s="33">
        <f t="shared" si="7"/>
        <v>-2824.22870819337</v>
      </c>
      <c r="S31" s="34">
        <f t="shared" si="6"/>
        <v>30332.405546487273</v>
      </c>
      <c r="T31" s="33">
        <f t="shared" si="3"/>
        <v>27508.176838293904</v>
      </c>
      <c r="U31" s="34">
        <f>S31+X31</f>
        <v>26119.056094634449</v>
      </c>
      <c r="V31" s="34"/>
      <c r="W31" s="31">
        <f t="shared" si="4"/>
        <v>-3449.5597515586751</v>
      </c>
      <c r="X31" s="32">
        <f t="shared" si="5"/>
        <v>-4213.349451852825</v>
      </c>
    </row>
    <row r="32" spans="1:24" x14ac:dyDescent="0.25">
      <c r="N32" t="s">
        <v>50</v>
      </c>
    </row>
    <row r="33" spans="1:24" x14ac:dyDescent="0.25">
      <c r="B33" s="13">
        <v>9355.3383829498125</v>
      </c>
      <c r="C33" s="13">
        <v>36000</v>
      </c>
      <c r="D33" s="13">
        <v>57017</v>
      </c>
      <c r="E33" s="13">
        <v>38611.199240913913</v>
      </c>
      <c r="F33" s="1" t="s">
        <v>13</v>
      </c>
      <c r="G33" s="1">
        <v>51.2</v>
      </c>
      <c r="H33" s="4">
        <v>-0.64</v>
      </c>
      <c r="P33" s="33">
        <f>B33</f>
        <v>9355.3383829498125</v>
      </c>
      <c r="Q33" s="33">
        <f>A23</f>
        <v>9413.8746219342102</v>
      </c>
      <c r="R33" s="33">
        <f>P33-Q33</f>
        <v>-58.536238984397642</v>
      </c>
      <c r="S33" s="33">
        <f>E23</f>
        <v>38698.527023441908</v>
      </c>
      <c r="T33" s="33">
        <f t="shared" ref="T33:T36" si="9">R33+S33</f>
        <v>38639.990784457506</v>
      </c>
      <c r="U33" s="33">
        <f>S33+X33</f>
        <v>38611.199240913913</v>
      </c>
      <c r="V33" s="33"/>
      <c r="W33" s="31">
        <f t="shared" ref="W33:W41" si="10">R33*(1+Factor8061)</f>
        <v>-71.497132446248244</v>
      </c>
      <c r="X33" s="32">
        <f t="shared" ref="X33:X41" si="11">W33*(1+Factor8061)</f>
        <v>-87.327782527997442</v>
      </c>
    </row>
    <row r="34" spans="1:24" x14ac:dyDescent="0.25">
      <c r="B34" s="13">
        <v>9408.6607109964589</v>
      </c>
      <c r="C34" s="13">
        <v>36000</v>
      </c>
      <c r="D34" s="13">
        <v>57017</v>
      </c>
      <c r="E34" s="13">
        <v>38573.392104723862</v>
      </c>
      <c r="F34" s="1" t="s">
        <v>2</v>
      </c>
      <c r="G34" s="1">
        <v>51.2</v>
      </c>
      <c r="H34" s="4">
        <v>-0.64</v>
      </c>
      <c r="P34" s="33">
        <f>B34</f>
        <v>9408.6607109964589</v>
      </c>
      <c r="Q34" s="33">
        <f>A24</f>
        <v>9458.1196022080403</v>
      </c>
      <c r="R34" s="33">
        <f>P34-Q34</f>
        <v>-49.458891211581431</v>
      </c>
      <c r="S34" s="33">
        <f t="shared" ref="S34:S36" si="12">E24</f>
        <v>38647.177769309383</v>
      </c>
      <c r="T34" s="33">
        <f t="shared" si="9"/>
        <v>38597.718878097803</v>
      </c>
      <c r="U34" s="33">
        <f>S34+X34</f>
        <v>38573.392104723862</v>
      </c>
      <c r="V34" s="33"/>
      <c r="W34" s="31">
        <f t="shared" si="10"/>
        <v>-60.409909433053222</v>
      </c>
      <c r="X34" s="32">
        <f t="shared" si="11"/>
        <v>-73.785664585524486</v>
      </c>
    </row>
    <row r="35" spans="1:24" x14ac:dyDescent="0.25">
      <c r="B35" s="13">
        <v>9344.5215456123915</v>
      </c>
      <c r="C35" s="13">
        <v>36000</v>
      </c>
      <c r="D35" s="13">
        <v>57017</v>
      </c>
      <c r="E35" s="13">
        <v>38598.894223996482</v>
      </c>
      <c r="F35" s="1" t="s">
        <v>3</v>
      </c>
      <c r="G35" s="1">
        <v>51.2</v>
      </c>
      <c r="H35" s="4">
        <v>-0.64</v>
      </c>
      <c r="P35" s="33">
        <f>B35</f>
        <v>9344.5215456123915</v>
      </c>
      <c r="Q35" s="33">
        <f>A25</f>
        <v>9384.3833021547307</v>
      </c>
      <c r="R35" s="33">
        <f>P35-Q35</f>
        <v>-39.861756542339208</v>
      </c>
      <c r="S35" s="33">
        <f t="shared" si="12"/>
        <v>38658.362322167959</v>
      </c>
      <c r="T35" s="33">
        <f t="shared" si="9"/>
        <v>38618.500565625618</v>
      </c>
      <c r="U35" s="33">
        <f>S35+X35</f>
        <v>38598.894223996482</v>
      </c>
      <c r="V35" s="33"/>
      <c r="W35" s="31">
        <f t="shared" si="10"/>
        <v>-48.687810089872251</v>
      </c>
      <c r="X35" s="32">
        <f t="shared" si="11"/>
        <v>-59.468098171480072</v>
      </c>
    </row>
    <row r="36" spans="1:24" x14ac:dyDescent="0.25">
      <c r="B36" s="13">
        <v>9417.8182813795975</v>
      </c>
      <c r="C36" s="13">
        <v>36000</v>
      </c>
      <c r="D36" s="13">
        <v>57017</v>
      </c>
      <c r="E36" s="13">
        <v>38568.01950618437</v>
      </c>
      <c r="F36" s="1" t="s">
        <v>4</v>
      </c>
      <c r="G36" s="1">
        <v>51.2</v>
      </c>
      <c r="H36" s="4">
        <v>-0.64</v>
      </c>
      <c r="P36" s="33">
        <f>B36</f>
        <v>9417.8182813795975</v>
      </c>
      <c r="Q36" s="33">
        <f>A26</f>
        <v>9495.8883495338596</v>
      </c>
      <c r="R36" s="33">
        <f>P36-Q36</f>
        <v>-78.070068154262117</v>
      </c>
      <c r="S36" s="33">
        <f t="shared" si="12"/>
        <v>38684.488996742832</v>
      </c>
      <c r="T36" s="33">
        <f t="shared" si="9"/>
        <v>38606.418928588566</v>
      </c>
      <c r="U36" s="33">
        <f>S36+X36</f>
        <v>38568.01950618437</v>
      </c>
      <c r="V36" s="33"/>
      <c r="W36" s="31">
        <f t="shared" si="10"/>
        <v>-95.35607513835464</v>
      </c>
      <c r="X36" s="32">
        <f t="shared" si="11"/>
        <v>-116.46949055846481</v>
      </c>
    </row>
    <row r="37" spans="1:24" x14ac:dyDescent="0.25">
      <c r="B37" s="13"/>
      <c r="C37" s="13"/>
      <c r="D37" s="13"/>
      <c r="E37" s="13"/>
      <c r="F37" s="1"/>
      <c r="G37" s="1"/>
      <c r="H37" s="4"/>
      <c r="P37" s="33"/>
      <c r="Q37" s="34"/>
      <c r="R37" s="33"/>
      <c r="S37" s="34"/>
      <c r="T37" s="33"/>
      <c r="U37" s="34"/>
      <c r="V37" s="34"/>
      <c r="W37" s="31">
        <f t="shared" si="10"/>
        <v>0</v>
      </c>
      <c r="X37" s="32">
        <f t="shared" si="11"/>
        <v>0</v>
      </c>
    </row>
    <row r="38" spans="1:24" x14ac:dyDescent="0.25">
      <c r="A38" s="60">
        <v>7137.1184772759998</v>
      </c>
      <c r="B38" s="13">
        <v>7123.3300259836597</v>
      </c>
      <c r="C38" s="13">
        <v>36000</v>
      </c>
      <c r="D38" s="13">
        <v>57017</v>
      </c>
      <c r="E38" s="44">
        <v>26660.717367957361</v>
      </c>
      <c r="F38" s="5" t="s">
        <v>13</v>
      </c>
      <c r="G38" s="1">
        <v>28.5</v>
      </c>
      <c r="H38" s="1">
        <v>-0.36</v>
      </c>
      <c r="I38" s="60">
        <v>19523.601522724002</v>
      </c>
      <c r="J38" s="62">
        <v>1284</v>
      </c>
      <c r="K38" s="60">
        <v>198.93296685696899</v>
      </c>
      <c r="L38" s="60">
        <v>4.8049901931097497E-2</v>
      </c>
      <c r="M38" s="60">
        <v>0.107154652998896</v>
      </c>
      <c r="P38" s="33">
        <f>B38</f>
        <v>7123.3300259836597</v>
      </c>
      <c r="Q38" s="34">
        <f>A28</f>
        <v>7299.8626684301698</v>
      </c>
      <c r="R38" s="33">
        <f t="shared" ref="R38:R41" si="13">P38-Q38</f>
        <v>-176.53264244651018</v>
      </c>
      <c r="S38" s="34">
        <f t="shared" ref="S38:S41" si="14">E28</f>
        <v>26876.337263206329</v>
      </c>
      <c r="T38" s="33">
        <f t="shared" ref="T38:T41" si="15">R38+S38</f>
        <v>26699.80462075982</v>
      </c>
      <c r="U38" s="34">
        <f>S38+W38</f>
        <v>26660.717367957361</v>
      </c>
      <c r="V38" s="34"/>
      <c r="W38" s="31">
        <f t="shared" si="10"/>
        <v>-215.61989524896708</v>
      </c>
      <c r="X38" s="32">
        <f t="shared" si="11"/>
        <v>-263.36171363470476</v>
      </c>
    </row>
    <row r="39" spans="1:24" x14ac:dyDescent="0.25">
      <c r="A39" s="60">
        <v>7243.4818296661697</v>
      </c>
      <c r="B39" s="13">
        <v>7172.2122603736698</v>
      </c>
      <c r="C39" s="13">
        <v>36000</v>
      </c>
      <c r="D39" s="13">
        <v>57017</v>
      </c>
      <c r="E39" s="44">
        <v>26812.085130287251</v>
      </c>
      <c r="F39" s="1" t="s">
        <v>2</v>
      </c>
      <c r="G39" s="1">
        <v>28.5</v>
      </c>
      <c r="H39" s="46">
        <v>-0.36</v>
      </c>
      <c r="I39" s="60">
        <v>19568.608170333831</v>
      </c>
      <c r="J39" s="62">
        <v>1288</v>
      </c>
      <c r="K39" s="60">
        <v>196.47192911840401</v>
      </c>
      <c r="L39" s="60">
        <v>3.71027280046358E-2</v>
      </c>
      <c r="M39" s="60">
        <v>0.10065772769810399</v>
      </c>
      <c r="P39" s="33">
        <f>B39</f>
        <v>7172.2122603736698</v>
      </c>
      <c r="Q39" s="34">
        <f t="shared" ref="Q39:Q41" si="16">A29</f>
        <v>6728.7400037388697</v>
      </c>
      <c r="R39" s="33">
        <f t="shared" si="13"/>
        <v>443.47225663480003</v>
      </c>
      <c r="S39" s="34">
        <f t="shared" si="14"/>
        <v>26150.487298644417</v>
      </c>
      <c r="T39" s="33">
        <f t="shared" si="15"/>
        <v>26593.959555279216</v>
      </c>
      <c r="U39" s="34">
        <f>S39+X39</f>
        <v>26812.085130287251</v>
      </c>
      <c r="V39" s="34"/>
      <c r="W39" s="31">
        <f t="shared" si="10"/>
        <v>541.6643641438277</v>
      </c>
      <c r="X39" s="32">
        <f t="shared" si="11"/>
        <v>661.59783164283192</v>
      </c>
    </row>
    <row r="40" spans="1:24" x14ac:dyDescent="0.25">
      <c r="A40" s="60">
        <v>7159.39760754906</v>
      </c>
      <c r="B40" s="13">
        <v>7107.9141589435894</v>
      </c>
      <c r="C40" s="13">
        <v>36000</v>
      </c>
      <c r="D40" s="13">
        <v>57017</v>
      </c>
      <c r="E40" s="44">
        <v>26695.69690844334</v>
      </c>
      <c r="F40" s="1" t="s">
        <v>3</v>
      </c>
      <c r="G40" s="1">
        <v>28.5</v>
      </c>
      <c r="H40" s="1">
        <v>-0.36</v>
      </c>
      <c r="I40" s="60">
        <v>19536.30239245094</v>
      </c>
      <c r="J40" s="62">
        <v>1278</v>
      </c>
      <c r="K40" s="60">
        <v>199.45568765515</v>
      </c>
      <c r="L40" s="60">
        <v>4.8611930981601298E-2</v>
      </c>
      <c r="M40" s="60">
        <v>0.10592793107010599</v>
      </c>
      <c r="P40" s="33">
        <f>B40</f>
        <v>7107.9141589435894</v>
      </c>
      <c r="Q40" s="34">
        <f t="shared" si="16"/>
        <v>6716.0962972312</v>
      </c>
      <c r="R40" s="33">
        <f t="shared" si="13"/>
        <v>391.81786171238946</v>
      </c>
      <c r="S40" s="34">
        <f t="shared" si="14"/>
        <v>26111.160122140336</v>
      </c>
      <c r="T40" s="33">
        <f t="shared" si="15"/>
        <v>26502.977983852725</v>
      </c>
      <c r="U40" s="34">
        <f>S40+X40</f>
        <v>26695.69690844334</v>
      </c>
      <c r="V40" s="34"/>
      <c r="W40" s="31">
        <f t="shared" si="10"/>
        <v>478.57283009117396</v>
      </c>
      <c r="X40" s="32">
        <f t="shared" si="11"/>
        <v>584.53678630300578</v>
      </c>
    </row>
    <row r="41" spans="1:24" x14ac:dyDescent="0.25">
      <c r="A41" s="60">
        <v>7243.8819712936101</v>
      </c>
      <c r="B41" s="13">
        <v>7173.5839751902095</v>
      </c>
      <c r="C41" s="13">
        <v>36000</v>
      </c>
      <c r="D41" s="13">
        <v>57017</v>
      </c>
      <c r="E41" s="44">
        <v>26792.644545828352</v>
      </c>
      <c r="F41" s="1" t="s">
        <v>4</v>
      </c>
      <c r="G41" s="1">
        <v>28.5</v>
      </c>
      <c r="H41" s="46">
        <v>-0.36</v>
      </c>
      <c r="I41" s="60">
        <v>19548.75802870639</v>
      </c>
      <c r="J41" s="62">
        <v>1284</v>
      </c>
      <c r="K41" s="60">
        <v>195.50817399562499</v>
      </c>
      <c r="L41" s="60">
        <v>4.3469968600422099E-2</v>
      </c>
      <c r="M41" s="60">
        <v>9.6894913624124904E-2</v>
      </c>
      <c r="P41" s="33">
        <f>B41</f>
        <v>7173.5839751902095</v>
      </c>
      <c r="Q41" s="34">
        <f t="shared" si="16"/>
        <v>6722.0743477291498</v>
      </c>
      <c r="R41" s="33">
        <f t="shared" si="13"/>
        <v>451.50962746105961</v>
      </c>
      <c r="S41" s="34">
        <f t="shared" si="14"/>
        <v>26119.056094634449</v>
      </c>
      <c r="T41" s="33">
        <f t="shared" si="15"/>
        <v>26570.565722095507</v>
      </c>
      <c r="U41" s="34">
        <f>S41+X41</f>
        <v>26792.644545828352</v>
      </c>
      <c r="V41" s="34"/>
      <c r="W41" s="31">
        <f t="shared" si="10"/>
        <v>551.48134207843441</v>
      </c>
      <c r="X41" s="32">
        <f t="shared" si="11"/>
        <v>673.58845119390276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F9B45-3723-45DB-A342-F3383B494B61}">
  <dimension ref="A3:V26"/>
  <sheetViews>
    <sheetView workbookViewId="0">
      <selection activeCell="A20" sqref="A20:E26"/>
    </sheetView>
  </sheetViews>
  <sheetFormatPr defaultRowHeight="15" x14ac:dyDescent="0.25"/>
  <cols>
    <col min="1" max="1" width="11.28515625" customWidth="1"/>
    <col min="2" max="2" width="12" bestFit="1" customWidth="1"/>
    <col min="3" max="3" width="11.28515625" bestFit="1" customWidth="1"/>
    <col min="4" max="4" width="12" bestFit="1" customWidth="1"/>
    <col min="5" max="5" width="11.28515625" bestFit="1" customWidth="1"/>
    <col min="16" max="16" width="12.5703125" customWidth="1"/>
  </cols>
  <sheetData>
    <row r="3" spans="1:22" x14ac:dyDescent="0.25">
      <c r="A3" s="2" t="s">
        <v>68</v>
      </c>
    </row>
    <row r="4" spans="1:22" x14ac:dyDescent="0.25">
      <c r="A4" s="2" t="s">
        <v>71</v>
      </c>
      <c r="B4" s="21" t="s">
        <v>69</v>
      </c>
      <c r="C4" s="21" t="s">
        <v>70</v>
      </c>
      <c r="Q4" s="8"/>
      <c r="R4" s="8"/>
      <c r="S4" s="8"/>
      <c r="T4" s="8"/>
    </row>
    <row r="5" spans="1:22" x14ac:dyDescent="0.25">
      <c r="A5" s="38" t="s">
        <v>72</v>
      </c>
      <c r="B5" s="8">
        <f>'64x8061 (36T)'!I38</f>
        <v>19523.601522724002</v>
      </c>
      <c r="C5" s="8">
        <f>'64x8061 (36T)'!I23</f>
        <v>29284.655378065789</v>
      </c>
      <c r="Q5" s="8"/>
      <c r="S5" s="8"/>
      <c r="T5" s="8"/>
    </row>
    <row r="6" spans="1:22" x14ac:dyDescent="0.25">
      <c r="A6" s="38" t="s">
        <v>73</v>
      </c>
      <c r="B6" s="8">
        <f>'64x8061 (36T)'!I39</f>
        <v>19568.608170333831</v>
      </c>
      <c r="C6" s="8">
        <f>'64x8061 (36T)'!I24</f>
        <v>29189.06039779196</v>
      </c>
      <c r="Q6" s="8"/>
      <c r="S6" s="8"/>
      <c r="T6" s="8"/>
    </row>
    <row r="7" spans="1:22" x14ac:dyDescent="0.25">
      <c r="A7" s="38" t="s">
        <v>74</v>
      </c>
      <c r="B7" s="8">
        <f>'64x8061 (36T)'!I40</f>
        <v>19536.30239245094</v>
      </c>
      <c r="C7" s="8">
        <f>'64x8061 (36T)'!I25</f>
        <v>29273.976697845268</v>
      </c>
      <c r="Q7" s="8"/>
      <c r="R7" s="8"/>
      <c r="S7" s="8"/>
      <c r="T7" s="8"/>
    </row>
    <row r="8" spans="1:22" x14ac:dyDescent="0.25">
      <c r="A8" s="38" t="s">
        <v>75</v>
      </c>
      <c r="B8" s="8">
        <f>'64x8061 (36T)'!I41</f>
        <v>19548.75802870639</v>
      </c>
      <c r="C8" s="8">
        <f>'64x8061 (36T)'!I26</f>
        <v>29188.601650466138</v>
      </c>
    </row>
    <row r="10" spans="1:22" x14ac:dyDescent="0.25">
      <c r="A10" s="69" t="s">
        <v>157</v>
      </c>
      <c r="B10" s="11">
        <v>51.2</v>
      </c>
      <c r="C10" s="11">
        <v>51.2</v>
      </c>
      <c r="D10" s="11">
        <v>51.2</v>
      </c>
      <c r="E10" s="11">
        <v>28.5</v>
      </c>
      <c r="F10" s="11">
        <v>28.5</v>
      </c>
      <c r="G10" s="11">
        <v>28.5</v>
      </c>
      <c r="S10" s="38"/>
      <c r="T10" s="38"/>
      <c r="U10" s="38"/>
      <c r="V10" s="38"/>
    </row>
    <row r="11" spans="1:22" x14ac:dyDescent="0.25">
      <c r="A11" s="70" t="s">
        <v>158</v>
      </c>
      <c r="B11" s="11" t="s">
        <v>155</v>
      </c>
      <c r="C11" s="11" t="s">
        <v>154</v>
      </c>
      <c r="D11" s="11"/>
      <c r="E11" s="11" t="s">
        <v>155</v>
      </c>
      <c r="F11" s="11" t="s">
        <v>154</v>
      </c>
      <c r="G11" s="11"/>
      <c r="S11" s="8"/>
      <c r="T11" s="8"/>
      <c r="U11" s="8"/>
      <c r="V11" s="8"/>
    </row>
    <row r="12" spans="1:22" x14ac:dyDescent="0.25">
      <c r="A12" s="70" t="s">
        <v>72</v>
      </c>
      <c r="B12" s="68">
        <f>'64x8061 (36T)'!I23</f>
        <v>29284.655378065789</v>
      </c>
      <c r="C12" s="68">
        <f>'64x8061 (36T)'!A23</f>
        <v>9413.8746219342102</v>
      </c>
      <c r="D12" s="68">
        <f>'64x8061 (36T)'!B3</f>
        <v>9355.3383829498125</v>
      </c>
      <c r="E12" s="68">
        <f>'64x8061 (36T)'!I38</f>
        <v>19523.601522724002</v>
      </c>
      <c r="F12" s="68">
        <f>'64x8061 (36T)'!A38</f>
        <v>7137.1184772759998</v>
      </c>
      <c r="G12" s="68">
        <f>'64x8061 (36T)'!B8</f>
        <v>7123.3300259836597</v>
      </c>
      <c r="S12" s="8"/>
      <c r="T12" s="8"/>
      <c r="U12" s="8"/>
      <c r="V12" s="8"/>
    </row>
    <row r="13" spans="1:22" x14ac:dyDescent="0.25">
      <c r="A13" s="70" t="s">
        <v>73</v>
      </c>
      <c r="B13" s="68">
        <f>'64x8061 (36T)'!I24</f>
        <v>29189.06039779196</v>
      </c>
      <c r="C13" s="68">
        <f>'64x8061 (36T)'!A24</f>
        <v>9458.1196022080403</v>
      </c>
      <c r="D13" s="68">
        <f>'64x8061 (36T)'!B4</f>
        <v>9408.6607109964589</v>
      </c>
      <c r="E13" s="68">
        <f>'64x8061 (36T)'!I39</f>
        <v>19568.608170333831</v>
      </c>
      <c r="F13" s="68">
        <f>'64x8061 (36T)'!A39</f>
        <v>7243.4818296661697</v>
      </c>
      <c r="G13" s="68">
        <f>'64x8061 (36T)'!B9</f>
        <v>7172.2122603736698</v>
      </c>
      <c r="S13" s="8"/>
      <c r="T13" s="8"/>
      <c r="U13" s="8"/>
      <c r="V13" s="8"/>
    </row>
    <row r="14" spans="1:22" x14ac:dyDescent="0.25">
      <c r="A14" s="70" t="s">
        <v>74</v>
      </c>
      <c r="B14" s="68">
        <f>'64x8061 (36T)'!I25</f>
        <v>29273.976697845268</v>
      </c>
      <c r="C14" s="68">
        <f>'64x8061 (36T)'!A25</f>
        <v>9384.3833021547307</v>
      </c>
      <c r="D14" s="68">
        <f>'64x8061 (36T)'!B5</f>
        <v>9344.5215456123915</v>
      </c>
      <c r="E14" s="68">
        <f>'64x8061 (36T)'!I40</f>
        <v>19536.30239245094</v>
      </c>
      <c r="F14" s="68">
        <f>'64x8061 (36T)'!A40</f>
        <v>7159.39760754906</v>
      </c>
      <c r="G14" s="68">
        <f>'64x8061 (36T)'!B10</f>
        <v>7107.9141589435894</v>
      </c>
      <c r="S14" s="8"/>
      <c r="T14" s="8"/>
      <c r="U14" s="8"/>
      <c r="V14" s="8"/>
    </row>
    <row r="15" spans="1:22" x14ac:dyDescent="0.25">
      <c r="A15" s="70" t="s">
        <v>75</v>
      </c>
      <c r="B15" s="68">
        <f>'64x8061 (36T)'!I26</f>
        <v>29188.601650466138</v>
      </c>
      <c r="C15" s="68">
        <f>'64x8061 (36T)'!A26</f>
        <v>9495.8883495338596</v>
      </c>
      <c r="D15" s="68">
        <f>'64x8061 (36T)'!B6</f>
        <v>9417.8182813795975</v>
      </c>
      <c r="E15" s="68">
        <f>'64x8061 (36T)'!I41</f>
        <v>19548.75802870639</v>
      </c>
      <c r="F15" s="68">
        <f>'64x8061 (36T)'!A41</f>
        <v>7243.8819712936101</v>
      </c>
      <c r="G15" s="68">
        <f>'64x8061 (36T)'!B11</f>
        <v>7173.5839751902095</v>
      </c>
    </row>
    <row r="19" spans="1:5" x14ac:dyDescent="0.25">
      <c r="A19" s="2" t="s">
        <v>76</v>
      </c>
    </row>
    <row r="20" spans="1:5" x14ac:dyDescent="0.25">
      <c r="A20" s="74" t="s">
        <v>157</v>
      </c>
      <c r="B20" s="73">
        <v>28.5</v>
      </c>
      <c r="C20" s="73" t="s">
        <v>51</v>
      </c>
      <c r="D20" s="73">
        <v>51.2</v>
      </c>
      <c r="E20" s="73" t="s">
        <v>51</v>
      </c>
    </row>
    <row r="21" spans="1:5" ht="30" x14ac:dyDescent="0.25">
      <c r="B21" s="76" t="s">
        <v>159</v>
      </c>
      <c r="C21" s="76" t="s">
        <v>159</v>
      </c>
      <c r="D21" s="76" t="s">
        <v>159</v>
      </c>
      <c r="E21" s="76" t="s">
        <v>159</v>
      </c>
    </row>
    <row r="22" spans="1:5" x14ac:dyDescent="0.25">
      <c r="A22" s="75" t="s">
        <v>158</v>
      </c>
      <c r="B22" s="76"/>
      <c r="C22" s="76"/>
      <c r="D22" s="76"/>
      <c r="E22" s="76"/>
    </row>
    <row r="23" spans="1:5" x14ac:dyDescent="0.25">
      <c r="A23" s="72" t="s">
        <v>72</v>
      </c>
      <c r="B23" s="77">
        <f>'64x8061 (36T)'!K38</f>
        <v>198.93296685696899</v>
      </c>
      <c r="C23" s="77">
        <f>'64x8061 (36T)'!K8</f>
        <v>73.989263462492005</v>
      </c>
      <c r="D23" s="77">
        <f>'64x8061 (36T)'!K23</f>
        <v>288.17120951752401</v>
      </c>
      <c r="E23" s="77">
        <f>'64x8061 (36T)'!K3</f>
        <v>93.534957786527201</v>
      </c>
    </row>
    <row r="24" spans="1:5" x14ac:dyDescent="0.25">
      <c r="A24" s="72" t="s">
        <v>73</v>
      </c>
      <c r="B24" s="77">
        <f>'64x8061 (36T)'!K39</f>
        <v>196.47192911840401</v>
      </c>
      <c r="C24" s="77">
        <f>'64x8061 (36T)'!K9</f>
        <v>69.478491863806894</v>
      </c>
      <c r="D24" s="77">
        <f>'64x8061 (36T)'!K24</f>
        <v>285.71324924347499</v>
      </c>
      <c r="E24" s="77">
        <f>'64x8061 (36T)'!K4</f>
        <v>90.771386189597195</v>
      </c>
    </row>
    <row r="25" spans="1:5" x14ac:dyDescent="0.25">
      <c r="A25" s="72" t="s">
        <v>74</v>
      </c>
      <c r="B25" s="77">
        <f>'64x8061 (36T)'!K40</f>
        <v>199.45568765515</v>
      </c>
      <c r="C25" s="77">
        <f>'64x8061 (36T)'!K10</f>
        <v>73.922654913523701</v>
      </c>
      <c r="D25" s="77">
        <f>'64x8061 (36T)'!K25</f>
        <v>287.91533579095199</v>
      </c>
      <c r="E25" s="77">
        <f>'64x8061 (36T)'!K5</f>
        <v>93.288532217004104</v>
      </c>
    </row>
    <row r="26" spans="1:5" x14ac:dyDescent="0.25">
      <c r="A26" s="72" t="s">
        <v>75</v>
      </c>
      <c r="B26" s="77">
        <f>'64x8061 (36T)'!K41</f>
        <v>195.50817399562499</v>
      </c>
      <c r="C26" s="77">
        <f>'64x8061 (36T)'!K11</f>
        <v>69.432160181975604</v>
      </c>
      <c r="D26" s="77">
        <f>'64x8061 (36T)'!K26</f>
        <v>286.11113355140702</v>
      </c>
      <c r="E26" s="77">
        <f>'64x8061 (36T)'!K6</f>
        <v>90.817827249637006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4AD5-2E01-4866-AEB1-7D4B67213D1E}">
  <dimension ref="A1:T85"/>
  <sheetViews>
    <sheetView topLeftCell="A69" workbookViewId="0">
      <selection activeCell="N90" sqref="N90"/>
    </sheetView>
  </sheetViews>
  <sheetFormatPr defaultRowHeight="15" x14ac:dyDescent="0.25"/>
  <cols>
    <col min="1" max="1" width="13" style="2" customWidth="1"/>
    <col min="2" max="2" width="13" style="21" customWidth="1"/>
    <col min="3" max="6" width="9.140625" style="21"/>
    <col min="7" max="7" width="11.7109375" style="21" bestFit="1" customWidth="1"/>
    <col min="8" max="16384" width="9.140625" style="21"/>
  </cols>
  <sheetData>
    <row r="1" spans="1:10" x14ac:dyDescent="0.25">
      <c r="A1" s="2" t="s">
        <v>86</v>
      </c>
    </row>
    <row r="2" spans="1:10" x14ac:dyDescent="0.25">
      <c r="D2" s="21" t="s">
        <v>82</v>
      </c>
    </row>
    <row r="4" spans="1:10" x14ac:dyDescent="0.25">
      <c r="B4" s="21">
        <v>51.2</v>
      </c>
      <c r="C4" s="21" t="s">
        <v>79</v>
      </c>
      <c r="D4" s="21" t="s">
        <v>80</v>
      </c>
      <c r="E4" s="21" t="s">
        <v>81</v>
      </c>
      <c r="G4" s="21">
        <v>28.5</v>
      </c>
      <c r="H4" s="21" t="s">
        <v>79</v>
      </c>
      <c r="I4" s="21" t="s">
        <v>80</v>
      </c>
      <c r="J4" s="21" t="s">
        <v>81</v>
      </c>
    </row>
    <row r="5" spans="1:10" x14ac:dyDescent="0.25">
      <c r="B5" s="21" t="s">
        <v>88</v>
      </c>
      <c r="C5" s="39">
        <v>232.64769773907</v>
      </c>
      <c r="D5" s="39">
        <v>159.65478874878599</v>
      </c>
      <c r="E5" s="39">
        <v>197.27809951342701</v>
      </c>
      <c r="F5" s="39"/>
      <c r="G5" s="21" t="s">
        <v>88</v>
      </c>
      <c r="H5" s="40">
        <v>153.83346778503201</v>
      </c>
      <c r="I5" s="40">
        <v>108.646535534462</v>
      </c>
      <c r="J5" s="39">
        <v>129.32324242865801</v>
      </c>
    </row>
    <row r="6" spans="1:10" x14ac:dyDescent="0.25">
      <c r="B6" s="21" t="s">
        <v>89</v>
      </c>
      <c r="C6" s="39">
        <v>227.983221505182</v>
      </c>
      <c r="D6" s="39">
        <v>160.695890362781</v>
      </c>
      <c r="E6" s="39">
        <v>194.41142238957701</v>
      </c>
      <c r="F6" s="39"/>
      <c r="G6" s="21" t="s">
        <v>89</v>
      </c>
      <c r="H6" s="40">
        <v>158.20644068431599</v>
      </c>
      <c r="I6" s="40">
        <v>106.111216006411</v>
      </c>
      <c r="J6" s="39">
        <v>130.27742158533499</v>
      </c>
    </row>
    <row r="7" spans="1:10" x14ac:dyDescent="0.25">
      <c r="B7" s="21" t="s">
        <v>90</v>
      </c>
      <c r="C7" s="39">
        <v>232.499348069577</v>
      </c>
      <c r="D7" s="39">
        <v>160.037815028506</v>
      </c>
      <c r="E7" s="39">
        <v>197.22231150265699</v>
      </c>
      <c r="F7" s="39"/>
      <c r="G7" s="21" t="s">
        <v>90</v>
      </c>
      <c r="H7" s="40">
        <v>154.82647316447699</v>
      </c>
      <c r="I7" s="40">
        <v>108.533789892982</v>
      </c>
      <c r="J7" s="39">
        <v>129.18399548892501</v>
      </c>
    </row>
    <row r="8" spans="1:10" x14ac:dyDescent="0.25">
      <c r="B8" s="21" t="s">
        <v>91</v>
      </c>
      <c r="C8" s="39">
        <v>227.61761591537601</v>
      </c>
      <c r="D8" s="39">
        <v>160.43348133728401</v>
      </c>
      <c r="E8" s="39">
        <v>194.22470105725</v>
      </c>
      <c r="F8" s="39"/>
      <c r="G8" s="21" t="s">
        <v>91</v>
      </c>
      <c r="H8" s="40">
        <v>157.54220983929099</v>
      </c>
      <c r="I8" s="40">
        <v>106.41267091581101</v>
      </c>
      <c r="J8" s="39">
        <v>130.20062802356099</v>
      </c>
    </row>
    <row r="9" spans="1:10" x14ac:dyDescent="0.25">
      <c r="C9" s="39"/>
      <c r="D9" s="39"/>
      <c r="E9" s="39"/>
      <c r="F9" s="39"/>
      <c r="G9" s="40"/>
      <c r="H9" s="40"/>
      <c r="I9" s="39"/>
    </row>
    <row r="10" spans="1:10" x14ac:dyDescent="0.25">
      <c r="C10" s="40"/>
      <c r="D10" s="40"/>
      <c r="H10" s="41"/>
      <c r="I10" s="40"/>
    </row>
    <row r="11" spans="1:10" x14ac:dyDescent="0.25">
      <c r="B11" s="21">
        <v>51.2</v>
      </c>
      <c r="C11" s="21" t="s">
        <v>80</v>
      </c>
      <c r="D11" s="21" t="s">
        <v>81</v>
      </c>
      <c r="G11" s="21">
        <v>28.5</v>
      </c>
      <c r="H11" s="21" t="s">
        <v>80</v>
      </c>
      <c r="I11" s="21" t="s">
        <v>81</v>
      </c>
    </row>
    <row r="12" spans="1:10" x14ac:dyDescent="0.25">
      <c r="B12" s="21" t="s">
        <v>92</v>
      </c>
      <c r="C12" s="39">
        <v>194.58950339250001</v>
      </c>
      <c r="D12" s="39">
        <v>228.24770997433299</v>
      </c>
      <c r="G12" s="21" t="s">
        <v>92</v>
      </c>
      <c r="H12" s="40">
        <v>130.58826685425799</v>
      </c>
      <c r="I12" s="39">
        <v>149.33896998797999</v>
      </c>
    </row>
    <row r="13" spans="1:10" x14ac:dyDescent="0.25">
      <c r="B13" s="21" t="s">
        <v>93</v>
      </c>
      <c r="C13" s="39">
        <v>191.347913983871</v>
      </c>
      <c r="D13" s="39">
        <v>224.07355604397799</v>
      </c>
      <c r="G13" s="21" t="s">
        <v>93</v>
      </c>
      <c r="H13" s="40">
        <v>131.57200179082</v>
      </c>
      <c r="I13" s="39">
        <v>153.22831162599999</v>
      </c>
    </row>
    <row r="14" spans="1:10" x14ac:dyDescent="0.25">
      <c r="B14" s="21" t="s">
        <v>94</v>
      </c>
      <c r="C14" s="39">
        <v>194.440748082841</v>
      </c>
      <c r="D14" s="39">
        <v>228.59104093442099</v>
      </c>
      <c r="G14" s="21" t="s">
        <v>94</v>
      </c>
      <c r="H14" s="40">
        <v>130.48721434679101</v>
      </c>
      <c r="I14" s="39">
        <v>149.20661953843199</v>
      </c>
    </row>
    <row r="15" spans="1:10" x14ac:dyDescent="0.25">
      <c r="B15" s="21" t="s">
        <v>95</v>
      </c>
      <c r="C15" s="39">
        <v>191.76671886974799</v>
      </c>
      <c r="D15" s="39">
        <v>224.28219835114899</v>
      </c>
      <c r="G15" s="21" t="s">
        <v>95</v>
      </c>
      <c r="H15" s="40">
        <v>131.52987931087699</v>
      </c>
      <c r="I15" s="39">
        <v>152.725987382407</v>
      </c>
    </row>
    <row r="16" spans="1:10" x14ac:dyDescent="0.25">
      <c r="C16" s="42"/>
    </row>
    <row r="17" spans="1:10" x14ac:dyDescent="0.25">
      <c r="A17" s="2" t="s">
        <v>84</v>
      </c>
    </row>
    <row r="18" spans="1:10" x14ac:dyDescent="0.25">
      <c r="D18" s="21" t="s">
        <v>83</v>
      </c>
    </row>
    <row r="20" spans="1:10" x14ac:dyDescent="0.25">
      <c r="B20" s="21">
        <v>51.2</v>
      </c>
      <c r="C20" s="21" t="s">
        <v>79</v>
      </c>
      <c r="D20" s="21" t="s">
        <v>80</v>
      </c>
      <c r="E20" s="21" t="s">
        <v>81</v>
      </c>
      <c r="G20" s="21">
        <v>28.5</v>
      </c>
      <c r="H20" s="21" t="s">
        <v>79</v>
      </c>
      <c r="I20" s="21" t="s">
        <v>80</v>
      </c>
      <c r="J20" s="21" t="s">
        <v>81</v>
      </c>
    </row>
    <row r="21" spans="1:10" x14ac:dyDescent="0.25">
      <c r="B21" s="21" t="s">
        <v>88</v>
      </c>
      <c r="C21" s="40">
        <v>8888.5730510515859</v>
      </c>
      <c r="D21" s="40">
        <v>13264.98415476501</v>
      </c>
      <c r="E21" s="41">
        <v>18141.909175507626</v>
      </c>
      <c r="F21" s="41"/>
      <c r="G21" s="21" t="s">
        <v>88</v>
      </c>
      <c r="H21" s="40">
        <v>6098.0932911462451</v>
      </c>
      <c r="I21" s="40">
        <v>9057.6458181629423</v>
      </c>
      <c r="J21" s="39">
        <v>12478.554719078853</v>
      </c>
    </row>
    <row r="22" spans="1:10" x14ac:dyDescent="0.25">
      <c r="B22" s="21" t="s">
        <v>89</v>
      </c>
      <c r="C22" s="40">
        <v>8945.8890230580837</v>
      </c>
      <c r="D22" s="40">
        <v>13336.306037508333</v>
      </c>
      <c r="E22" s="41">
        <v>18278.456137672718</v>
      </c>
      <c r="F22" s="41"/>
      <c r="G22" s="21" t="s">
        <v>89</v>
      </c>
      <c r="H22" s="40">
        <v>6083.981785060244</v>
      </c>
      <c r="I22" s="40">
        <v>9056.9704280318765</v>
      </c>
      <c r="J22" s="39">
        <v>12468.166839513398</v>
      </c>
    </row>
    <row r="23" spans="1:10" x14ac:dyDescent="0.25">
      <c r="B23" s="21" t="s">
        <v>90</v>
      </c>
      <c r="C23" s="40">
        <v>8900.9116721856371</v>
      </c>
      <c r="D23" s="40">
        <v>13256.548625780651</v>
      </c>
      <c r="E23" s="41">
        <v>18225.327577108692</v>
      </c>
      <c r="F23" s="41"/>
      <c r="G23" s="21" t="s">
        <v>90</v>
      </c>
      <c r="H23" s="40">
        <v>6079.204440529119</v>
      </c>
      <c r="I23" s="40">
        <v>9042.4816484425228</v>
      </c>
      <c r="J23" s="39">
        <v>12454.451484790179</v>
      </c>
    </row>
    <row r="24" spans="1:10" x14ac:dyDescent="0.25">
      <c r="B24" s="21" t="s">
        <v>91</v>
      </c>
      <c r="C24" s="40">
        <v>8907.0147296596078</v>
      </c>
      <c r="D24" s="40">
        <v>13361.883552098292</v>
      </c>
      <c r="E24" s="41">
        <v>18248.672914004721</v>
      </c>
      <c r="F24" s="41"/>
      <c r="G24" s="21" t="s">
        <v>91</v>
      </c>
      <c r="H24" s="40">
        <v>6080.6958678221072</v>
      </c>
      <c r="I24" s="40">
        <v>9062.9949988345779</v>
      </c>
      <c r="J24" s="39">
        <v>12463.443674545844</v>
      </c>
    </row>
    <row r="25" spans="1:10" x14ac:dyDescent="0.25">
      <c r="C25" s="40"/>
      <c r="D25" s="40"/>
      <c r="E25" s="41"/>
      <c r="F25" s="41"/>
      <c r="G25" s="40"/>
      <c r="H25" s="40"/>
      <c r="I25" s="39"/>
    </row>
    <row r="26" spans="1:10" x14ac:dyDescent="0.25">
      <c r="C26" s="40"/>
      <c r="D26" s="40"/>
      <c r="E26" s="40"/>
      <c r="F26" s="40"/>
      <c r="H26" s="41"/>
      <c r="I26" s="40"/>
      <c r="J26" s="39"/>
    </row>
    <row r="27" spans="1:10" x14ac:dyDescent="0.25">
      <c r="B27" s="21">
        <v>51.2</v>
      </c>
      <c r="C27" s="21" t="s">
        <v>80</v>
      </c>
      <c r="D27" s="21" t="s">
        <v>81</v>
      </c>
      <c r="G27" s="21">
        <v>28.5</v>
      </c>
      <c r="H27" s="21" t="s">
        <v>80</v>
      </c>
      <c r="I27" s="21" t="s">
        <v>81</v>
      </c>
    </row>
    <row r="28" spans="1:10" x14ac:dyDescent="0.25">
      <c r="B28" s="21" t="s">
        <v>92</v>
      </c>
      <c r="C28" s="40">
        <v>15145.754390106105</v>
      </c>
      <c r="D28" s="39">
        <v>20217.371054988464</v>
      </c>
      <c r="E28" s="39"/>
      <c r="F28" s="39"/>
      <c r="G28" s="21" t="s">
        <v>92</v>
      </c>
      <c r="H28" s="40">
        <v>10611.409949816112</v>
      </c>
      <c r="I28" s="39">
        <v>13855.625411329405</v>
      </c>
    </row>
    <row r="29" spans="1:10" x14ac:dyDescent="0.25">
      <c r="B29" s="21" t="s">
        <v>93</v>
      </c>
      <c r="C29" s="40">
        <v>15178.634227363986</v>
      </c>
      <c r="D29" s="39">
        <v>20348.4372970595</v>
      </c>
      <c r="E29" s="39"/>
      <c r="F29" s="39"/>
      <c r="G29" s="21" t="s">
        <v>93</v>
      </c>
      <c r="H29" s="40">
        <v>10573.128835995371</v>
      </c>
      <c r="I29" s="39">
        <v>13845.309007175383</v>
      </c>
    </row>
    <row r="30" spans="1:10" x14ac:dyDescent="0.25">
      <c r="B30" s="21" t="s">
        <v>94</v>
      </c>
      <c r="C30" s="40">
        <v>15167.089846084866</v>
      </c>
      <c r="D30" s="39">
        <v>20267.190932157959</v>
      </c>
      <c r="E30" s="39"/>
      <c r="F30" s="39"/>
      <c r="G30" s="21" t="s">
        <v>94</v>
      </c>
      <c r="H30" s="40">
        <v>10597.140522672844</v>
      </c>
      <c r="I30" s="39">
        <v>13816.446972888942</v>
      </c>
    </row>
    <row r="31" spans="1:10" x14ac:dyDescent="0.25">
      <c r="B31" s="21" t="s">
        <v>95</v>
      </c>
      <c r="C31" s="40">
        <v>15252.291110497446</v>
      </c>
      <c r="D31" s="39">
        <v>20359.951649635597</v>
      </c>
      <c r="E31" s="39"/>
      <c r="F31" s="39"/>
      <c r="G31" s="21" t="s">
        <v>95</v>
      </c>
      <c r="H31" s="40">
        <v>10583.312044686005</v>
      </c>
      <c r="I31" s="39">
        <v>13845.124627813109</v>
      </c>
    </row>
    <row r="33" spans="1:20" x14ac:dyDescent="0.25">
      <c r="A33" s="2" t="s">
        <v>85</v>
      </c>
    </row>
    <row r="34" spans="1:20" x14ac:dyDescent="0.25">
      <c r="D34" s="21" t="s">
        <v>87</v>
      </c>
    </row>
    <row r="36" spans="1:20" x14ac:dyDescent="0.25">
      <c r="B36" s="21">
        <v>51.2</v>
      </c>
      <c r="C36" s="21" t="s">
        <v>79</v>
      </c>
      <c r="D36" s="21" t="s">
        <v>80</v>
      </c>
      <c r="E36" s="21" t="s">
        <v>81</v>
      </c>
      <c r="G36" s="21">
        <v>28.5</v>
      </c>
      <c r="H36" s="21" t="s">
        <v>79</v>
      </c>
      <c r="I36" s="21" t="s">
        <v>80</v>
      </c>
      <c r="J36" s="21" t="s">
        <v>81</v>
      </c>
      <c r="L36" s="21">
        <v>51.2</v>
      </c>
      <c r="M36" s="21" t="s">
        <v>79</v>
      </c>
      <c r="N36" s="21" t="s">
        <v>80</v>
      </c>
      <c r="O36" s="21" t="s">
        <v>81</v>
      </c>
      <c r="Q36" s="21">
        <v>28.5</v>
      </c>
      <c r="R36" s="21" t="s">
        <v>79</v>
      </c>
      <c r="S36" s="21" t="s">
        <v>80</v>
      </c>
      <c r="T36" s="21" t="s">
        <v>81</v>
      </c>
    </row>
    <row r="37" spans="1:20" x14ac:dyDescent="0.25">
      <c r="B37" s="21" t="s">
        <v>88</v>
      </c>
      <c r="C37" s="39">
        <v>1847.1623034103118</v>
      </c>
      <c r="D37" s="40">
        <v>3528.3274984501359</v>
      </c>
      <c r="E37" s="39">
        <v>5414.766263467498</v>
      </c>
      <c r="F37" s="39"/>
      <c r="G37" s="21" t="s">
        <v>88</v>
      </c>
      <c r="H37" s="39">
        <v>1418.9205461938609</v>
      </c>
      <c r="I37" s="40">
        <v>2780.0827027074029</v>
      </c>
      <c r="J37" s="40">
        <v>4158.6335781636699</v>
      </c>
      <c r="L37" s="43" t="s">
        <v>97</v>
      </c>
      <c r="M37" s="37">
        <f>C37/C21</f>
        <v>0.20781314309969903</v>
      </c>
      <c r="N37" s="37">
        <f t="shared" ref="N37:O40" si="0">D37/D21</f>
        <v>0.26598806732706876</v>
      </c>
      <c r="O37" s="37">
        <f t="shared" si="0"/>
        <v>0.29846727877888785</v>
      </c>
      <c r="Q37" s="43" t="s">
        <v>97</v>
      </c>
      <c r="R37" s="37">
        <f>H37/H21</f>
        <v>0.23268265643852581</v>
      </c>
      <c r="S37" s="37">
        <f t="shared" ref="S37:S40" si="1">I37/I21</f>
        <v>0.30693214975712696</v>
      </c>
      <c r="T37" s="37">
        <f t="shared" ref="T37:T40" si="2">J37/J21</f>
        <v>0.3332624387827065</v>
      </c>
    </row>
    <row r="38" spans="1:20" x14ac:dyDescent="0.25">
      <c r="B38" s="21" t="s">
        <v>89</v>
      </c>
      <c r="C38" s="39">
        <v>1868.7615285631848</v>
      </c>
      <c r="D38" s="40">
        <v>3539.7458278790441</v>
      </c>
      <c r="E38" s="39">
        <v>5436.0989462438438</v>
      </c>
      <c r="F38" s="39"/>
      <c r="G38" s="21" t="s">
        <v>89</v>
      </c>
      <c r="H38" s="39">
        <v>1424.8280821068649</v>
      </c>
      <c r="I38" s="40">
        <v>2793.9429248633251</v>
      </c>
      <c r="J38" s="40">
        <v>4187.7242038547338</v>
      </c>
      <c r="L38" s="43" t="s">
        <v>98</v>
      </c>
      <c r="M38" s="37">
        <f t="shared" ref="M38:M40" si="3">C38/C22</f>
        <v>0.20889612242522129</v>
      </c>
      <c r="N38" s="37">
        <f t="shared" si="0"/>
        <v>0.26542176056274625</v>
      </c>
      <c r="O38" s="37">
        <f t="shared" si="0"/>
        <v>0.29740470996561902</v>
      </c>
      <c r="Q38" s="43" t="s">
        <v>98</v>
      </c>
      <c r="R38" s="37">
        <f t="shared" ref="R38:R40" si="4">H38/H22</f>
        <v>0.23419335107242703</v>
      </c>
      <c r="S38" s="37">
        <f t="shared" si="1"/>
        <v>0.3084853756633566</v>
      </c>
      <c r="T38" s="37">
        <f t="shared" si="2"/>
        <v>0.33587328897326257</v>
      </c>
    </row>
    <row r="39" spans="1:20" x14ac:dyDescent="0.25">
      <c r="B39" s="21" t="s">
        <v>90</v>
      </c>
      <c r="C39" s="39">
        <v>1849.5270236671879</v>
      </c>
      <c r="D39" s="40">
        <v>3547.7347586730393</v>
      </c>
      <c r="E39" s="39">
        <v>5446.4232652797718</v>
      </c>
      <c r="F39" s="39"/>
      <c r="G39" s="21" t="s">
        <v>90</v>
      </c>
      <c r="H39" s="39">
        <v>1413.2044899135828</v>
      </c>
      <c r="I39" s="40">
        <v>2773.3762489110491</v>
      </c>
      <c r="J39" s="40">
        <v>4146.5065880992834</v>
      </c>
      <c r="L39" s="43" t="s">
        <v>99</v>
      </c>
      <c r="M39" s="37">
        <f t="shared" si="3"/>
        <v>0.2077907400706778</v>
      </c>
      <c r="N39" s="37">
        <f t="shared" si="0"/>
        <v>0.26762129863678003</v>
      </c>
      <c r="O39" s="37">
        <f t="shared" si="0"/>
        <v>0.29883815488290966</v>
      </c>
      <c r="Q39" s="43" t="s">
        <v>99</v>
      </c>
      <c r="R39" s="37">
        <f t="shared" si="4"/>
        <v>0.23246536676607985</v>
      </c>
      <c r="S39" s="37">
        <f t="shared" si="1"/>
        <v>0.30670521176990562</v>
      </c>
      <c r="T39" s="37">
        <f t="shared" si="2"/>
        <v>0.33293369789614141</v>
      </c>
    </row>
    <row r="40" spans="1:20" x14ac:dyDescent="0.25">
      <c r="B40" s="21" t="s">
        <v>91</v>
      </c>
      <c r="C40" s="39">
        <v>1847.769110331569</v>
      </c>
      <c r="D40" s="40">
        <v>3578.0974434037821</v>
      </c>
      <c r="E40" s="39">
        <v>5447.2204528716811</v>
      </c>
      <c r="F40" s="39"/>
      <c r="G40" s="21" t="s">
        <v>91</v>
      </c>
      <c r="H40" s="39">
        <v>1423.813077316313</v>
      </c>
      <c r="I40" s="40">
        <v>2797.8764375057863</v>
      </c>
      <c r="J40" s="40">
        <v>4186.21235072114</v>
      </c>
      <c r="L40" s="43" t="s">
        <v>100</v>
      </c>
      <c r="M40" s="37">
        <f t="shared" si="3"/>
        <v>0.20745099973604553</v>
      </c>
      <c r="N40" s="37">
        <f t="shared" si="0"/>
        <v>0.26778391156102338</v>
      </c>
      <c r="O40" s="37">
        <f t="shared" si="0"/>
        <v>0.29849953903723475</v>
      </c>
      <c r="Q40" s="43" t="s">
        <v>100</v>
      </c>
      <c r="R40" s="37">
        <f t="shared" si="4"/>
        <v>0.23415298318912192</v>
      </c>
      <c r="S40" s="37">
        <f t="shared" si="1"/>
        <v>0.30871433095412376</v>
      </c>
      <c r="T40" s="37">
        <f t="shared" si="2"/>
        <v>0.33587926900738224</v>
      </c>
    </row>
    <row r="41" spans="1:20" x14ac:dyDescent="0.25">
      <c r="C41" s="39"/>
      <c r="D41" s="40"/>
      <c r="E41" s="39"/>
      <c r="F41" s="39"/>
      <c r="H41" s="39"/>
      <c r="I41" s="40"/>
      <c r="J41" s="40"/>
    </row>
    <row r="42" spans="1:20" x14ac:dyDescent="0.25">
      <c r="C42" s="39"/>
      <c r="D42" s="40"/>
      <c r="E42" s="39"/>
      <c r="F42" s="39"/>
      <c r="H42" s="39"/>
      <c r="I42" s="40"/>
      <c r="J42" s="40"/>
    </row>
    <row r="43" spans="1:20" x14ac:dyDescent="0.25">
      <c r="A43" s="2" t="s">
        <v>96</v>
      </c>
      <c r="B43" s="21">
        <v>51.2</v>
      </c>
      <c r="C43" s="21" t="s">
        <v>80</v>
      </c>
      <c r="D43" s="21" t="s">
        <v>81</v>
      </c>
      <c r="G43" s="21">
        <v>28.5</v>
      </c>
      <c r="H43" s="21" t="s">
        <v>80</v>
      </c>
      <c r="I43" s="21" t="s">
        <v>81</v>
      </c>
      <c r="L43" s="21">
        <v>51.2</v>
      </c>
      <c r="M43" s="21" t="s">
        <v>80</v>
      </c>
      <c r="N43" s="21" t="s">
        <v>81</v>
      </c>
      <c r="Q43" s="21">
        <v>28.5</v>
      </c>
      <c r="R43" s="21" t="s">
        <v>80</v>
      </c>
      <c r="S43" s="21" t="s">
        <v>81</v>
      </c>
    </row>
    <row r="44" spans="1:20" x14ac:dyDescent="0.25">
      <c r="B44" s="21" t="s">
        <v>92</v>
      </c>
      <c r="C44" s="39">
        <v>3528.3274984501359</v>
      </c>
      <c r="D44" s="39">
        <v>5414.766263467498</v>
      </c>
      <c r="G44" s="21" t="s">
        <v>92</v>
      </c>
      <c r="H44" s="40">
        <v>2780.0827027074029</v>
      </c>
      <c r="I44" s="40">
        <v>4158.6335781636699</v>
      </c>
      <c r="L44" s="43" t="s">
        <v>97</v>
      </c>
      <c r="M44" s="37">
        <f>C44/C28</f>
        <v>0.23295818798930212</v>
      </c>
      <c r="N44" s="37">
        <f t="shared" ref="N44:N47" si="5">D44/D28</f>
        <v>0.2678274167665064</v>
      </c>
      <c r="O44" s="37"/>
      <c r="Q44" s="43" t="s">
        <v>97</v>
      </c>
      <c r="R44" s="37">
        <f>H44/H28</f>
        <v>0.26198994439523843</v>
      </c>
      <c r="S44" s="37">
        <f t="shared" ref="S44:S47" si="6">I44/I28</f>
        <v>0.30014044510493604</v>
      </c>
    </row>
    <row r="45" spans="1:20" x14ac:dyDescent="0.25">
      <c r="B45" s="21" t="s">
        <v>93</v>
      </c>
      <c r="C45" s="39">
        <v>3539.7458278790441</v>
      </c>
      <c r="D45" s="39">
        <v>5436.0989462438438</v>
      </c>
      <c r="G45" s="21" t="s">
        <v>93</v>
      </c>
      <c r="H45" s="40">
        <v>2793.9429248633251</v>
      </c>
      <c r="I45" s="40">
        <v>4187.7242038547338</v>
      </c>
      <c r="L45" s="43" t="s">
        <v>98</v>
      </c>
      <c r="M45" s="37">
        <f t="shared" ref="M45:M47" si="7">C45/C29</f>
        <v>0.23320581910443586</v>
      </c>
      <c r="N45" s="37">
        <f t="shared" si="5"/>
        <v>0.26715068419673682</v>
      </c>
      <c r="O45" s="37"/>
      <c r="Q45" s="43" t="s">
        <v>98</v>
      </c>
      <c r="R45" s="37">
        <f t="shared" ref="R45:R47" si="8">H45/H29</f>
        <v>0.2642493975247488</v>
      </c>
      <c r="S45" s="37">
        <f t="shared" si="6"/>
        <v>0.30246520331792015</v>
      </c>
    </row>
    <row r="46" spans="1:20" x14ac:dyDescent="0.25">
      <c r="B46" s="21" t="s">
        <v>94</v>
      </c>
      <c r="C46" s="39">
        <v>3547.7347586730393</v>
      </c>
      <c r="D46" s="39">
        <v>5446.4232652797718</v>
      </c>
      <c r="G46" s="21" t="s">
        <v>94</v>
      </c>
      <c r="H46" s="40">
        <v>2773.3762489110491</v>
      </c>
      <c r="I46" s="40">
        <v>4146.5065880992834</v>
      </c>
      <c r="L46" s="43" t="s">
        <v>99</v>
      </c>
      <c r="M46" s="37">
        <f t="shared" si="7"/>
        <v>0.23391005095079784</v>
      </c>
      <c r="N46" s="37">
        <f t="shared" si="5"/>
        <v>0.26873103843107976</v>
      </c>
      <c r="O46" s="37"/>
      <c r="Q46" s="43" t="s">
        <v>99</v>
      </c>
      <c r="R46" s="37">
        <f t="shared" si="8"/>
        <v>0.26170986814578351</v>
      </c>
      <c r="S46" s="37">
        <f t="shared" si="6"/>
        <v>0.30011381335850573</v>
      </c>
    </row>
    <row r="47" spans="1:20" x14ac:dyDescent="0.25">
      <c r="B47" s="21" t="s">
        <v>95</v>
      </c>
      <c r="C47" s="39">
        <v>3578.0974434037821</v>
      </c>
      <c r="D47" s="39">
        <v>5447.2204528716811</v>
      </c>
      <c r="G47" s="21" t="s">
        <v>95</v>
      </c>
      <c r="H47" s="40">
        <v>2797.8764375057863</v>
      </c>
      <c r="I47" s="40">
        <v>4186.21235072114</v>
      </c>
      <c r="L47" s="43" t="s">
        <v>100</v>
      </c>
      <c r="M47" s="37">
        <f t="shared" si="7"/>
        <v>0.23459409589560898</v>
      </c>
      <c r="N47" s="37">
        <f t="shared" si="5"/>
        <v>0.26754584424414268</v>
      </c>
      <c r="O47" s="37"/>
      <c r="Q47" s="43" t="s">
        <v>100</v>
      </c>
      <c r="R47" s="37">
        <f t="shared" si="8"/>
        <v>0.26436680934024148</v>
      </c>
      <c r="S47" s="37">
        <f t="shared" si="6"/>
        <v>0.30236003382097171</v>
      </c>
    </row>
    <row r="74" spans="2:10" x14ac:dyDescent="0.25">
      <c r="B74" s="2" t="s">
        <v>128</v>
      </c>
      <c r="C74" s="21" t="s">
        <v>130</v>
      </c>
      <c r="D74" s="21" t="s">
        <v>131</v>
      </c>
      <c r="E74" s="21" t="s">
        <v>132</v>
      </c>
      <c r="F74" s="21" t="s">
        <v>134</v>
      </c>
    </row>
    <row r="75" spans="2:10" x14ac:dyDescent="0.25">
      <c r="B75" s="38" t="s">
        <v>72</v>
      </c>
      <c r="C75" s="35">
        <v>9057.6458181629423</v>
      </c>
      <c r="D75" s="47">
        <v>8621.8440920071771</v>
      </c>
      <c r="E75" s="35">
        <v>13264.98415476501</v>
      </c>
      <c r="F75" s="47">
        <v>12403.170556588608</v>
      </c>
      <c r="H75" s="21">
        <f>C75/D75</f>
        <v>1.0505462313520344</v>
      </c>
      <c r="J75" s="21">
        <f t="shared" ref="J75:J78" si="9">E75/F75</f>
        <v>1.0694833304310731</v>
      </c>
    </row>
    <row r="76" spans="2:10" x14ac:dyDescent="0.25">
      <c r="B76" s="38" t="s">
        <v>73</v>
      </c>
      <c r="C76" s="35">
        <v>9056.9704280318765</v>
      </c>
      <c r="D76" s="47">
        <v>8624.8417083465447</v>
      </c>
      <c r="E76" s="35">
        <v>13336.306037508333</v>
      </c>
      <c r="F76" s="47">
        <v>12438.468455610691</v>
      </c>
      <c r="H76" s="21">
        <f t="shared" ref="H76:H78" si="10">C76/D76</f>
        <v>1.0501028000626547</v>
      </c>
      <c r="J76" s="21">
        <f t="shared" si="9"/>
        <v>1.0721823257502936</v>
      </c>
    </row>
    <row r="77" spans="2:10" x14ac:dyDescent="0.25">
      <c r="B77" s="38" t="s">
        <v>74</v>
      </c>
      <c r="C77" s="35">
        <v>9042.4816484425228</v>
      </c>
      <c r="D77" s="47">
        <v>8610.2494431644336</v>
      </c>
      <c r="E77" s="35">
        <v>13256.548625780651</v>
      </c>
      <c r="F77" s="47">
        <v>12391.535931182683</v>
      </c>
      <c r="H77" s="21">
        <f t="shared" si="10"/>
        <v>1.0501997309289608</v>
      </c>
      <c r="J77" s="21">
        <f t="shared" si="9"/>
        <v>1.0698067373892857</v>
      </c>
    </row>
    <row r="78" spans="2:10" x14ac:dyDescent="0.25">
      <c r="B78" s="38" t="s">
        <v>75</v>
      </c>
      <c r="C78" s="35">
        <v>9062.9949988345779</v>
      </c>
      <c r="D78" s="47">
        <v>8624.1529055855135</v>
      </c>
      <c r="E78" s="35">
        <v>13361.883552098292</v>
      </c>
      <c r="F78" s="47">
        <v>12416.318192797142</v>
      </c>
      <c r="H78" s="21">
        <f t="shared" si="10"/>
        <v>1.0508852403306583</v>
      </c>
      <c r="J78" s="21">
        <f t="shared" si="9"/>
        <v>1.0761550521353169</v>
      </c>
    </row>
    <row r="81" spans="2:10" x14ac:dyDescent="0.25">
      <c r="B81" s="21" t="s">
        <v>129</v>
      </c>
      <c r="C81" s="21" t="s">
        <v>130</v>
      </c>
      <c r="D81" s="21" t="s">
        <v>131</v>
      </c>
      <c r="E81" s="21" t="s">
        <v>133</v>
      </c>
      <c r="F81" s="21" t="s">
        <v>134</v>
      </c>
    </row>
    <row r="82" spans="2:10" x14ac:dyDescent="0.25">
      <c r="B82" s="21" t="s">
        <v>72</v>
      </c>
      <c r="C82" s="47">
        <v>10611.409949816112</v>
      </c>
      <c r="D82" s="47">
        <v>9770.3639808260014</v>
      </c>
      <c r="E82" s="47">
        <v>15145.754390106105</v>
      </c>
      <c r="F82" s="47">
        <v>14256.14390266328</v>
      </c>
      <c r="H82" s="21">
        <f>C82/D82</f>
        <v>1.0860813343945666</v>
      </c>
      <c r="J82" s="21">
        <f t="shared" ref="J82:J85" si="11">E82/F82</f>
        <v>1.06240190149011</v>
      </c>
    </row>
    <row r="83" spans="2:10" x14ac:dyDescent="0.25">
      <c r="B83" s="21" t="s">
        <v>73</v>
      </c>
      <c r="C83" s="47">
        <v>10573.128835995371</v>
      </c>
      <c r="D83" s="47">
        <v>9759.9299516863939</v>
      </c>
      <c r="E83" s="47">
        <v>15178.634227363986</v>
      </c>
      <c r="F83" s="47">
        <v>14251.132701282142</v>
      </c>
      <c r="H83" s="21">
        <f t="shared" ref="H83:H85" si="12">C83/D83</f>
        <v>1.0833201558140759</v>
      </c>
      <c r="J83" s="21">
        <f t="shared" si="11"/>
        <v>1.0650826531141906</v>
      </c>
    </row>
    <row r="84" spans="2:10" x14ac:dyDescent="0.25">
      <c r="B84" s="21" t="s">
        <v>74</v>
      </c>
      <c r="C84" s="47">
        <v>10597.140522672844</v>
      </c>
      <c r="D84" s="47">
        <v>9770.2776281083916</v>
      </c>
      <c r="E84" s="47">
        <v>15167.089846084866</v>
      </c>
      <c r="F84" s="47">
        <v>14210.943106748455</v>
      </c>
      <c r="H84" s="21">
        <f t="shared" si="12"/>
        <v>1.0846304399974906</v>
      </c>
      <c r="J84" s="21">
        <f t="shared" si="11"/>
        <v>1.0672824267998342</v>
      </c>
    </row>
    <row r="85" spans="2:10" x14ac:dyDescent="0.25">
      <c r="B85" s="21" t="s">
        <v>75</v>
      </c>
      <c r="C85" s="47">
        <v>10583.312044686005</v>
      </c>
      <c r="D85" s="47">
        <v>9755.7667877755248</v>
      </c>
      <c r="E85" s="47">
        <v>15252.291110497446</v>
      </c>
      <c r="F85" s="47">
        <v>14255.033959037006</v>
      </c>
      <c r="H85" s="21">
        <f t="shared" si="12"/>
        <v>1.084826264804468</v>
      </c>
      <c r="J85" s="21">
        <f t="shared" si="11"/>
        <v>1.069958244527943</v>
      </c>
    </row>
  </sheetData>
  <conditionalFormatting sqref="A11:A13">
    <cfRule type="duplicateValues" dxfId="3" priority="4"/>
  </conditionalFormatting>
  <conditionalFormatting sqref="A33:A35">
    <cfRule type="duplicateValues" dxfId="2" priority="3"/>
  </conditionalFormatting>
  <conditionalFormatting sqref="A21:A23">
    <cfRule type="duplicateValues" dxfId="1" priority="2"/>
  </conditionalFormatting>
  <conditionalFormatting sqref="A45:A47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D473A-A78E-4129-8487-08872C8B3938}">
  <dimension ref="A1:I20"/>
  <sheetViews>
    <sheetView workbookViewId="0">
      <selection activeCell="A24" sqref="A24"/>
    </sheetView>
  </sheetViews>
  <sheetFormatPr defaultRowHeight="15" x14ac:dyDescent="0.25"/>
  <cols>
    <col min="1" max="1" width="12.85546875" bestFit="1" customWidth="1"/>
  </cols>
  <sheetData>
    <row r="1" spans="1:9" x14ac:dyDescent="0.25">
      <c r="A1" t="s">
        <v>10</v>
      </c>
    </row>
    <row r="2" spans="1:9" x14ac:dyDescent="0.25">
      <c r="A2" t="s">
        <v>5</v>
      </c>
      <c r="B2">
        <v>6878.1360000000004</v>
      </c>
      <c r="C2" t="s">
        <v>59</v>
      </c>
    </row>
    <row r="3" spans="1:9" x14ac:dyDescent="0.25">
      <c r="A3" t="s">
        <v>6</v>
      </c>
      <c r="B3">
        <v>0.01</v>
      </c>
    </row>
    <row r="4" spans="1:9" x14ac:dyDescent="0.25">
      <c r="A4" t="s">
        <v>7</v>
      </c>
      <c r="B4">
        <v>0</v>
      </c>
      <c r="C4" t="s">
        <v>58</v>
      </c>
    </row>
    <row r="5" spans="1:9" x14ac:dyDescent="0.25">
      <c r="A5" t="s">
        <v>8</v>
      </c>
      <c r="B5">
        <v>180</v>
      </c>
      <c r="C5" t="s">
        <v>58</v>
      </c>
    </row>
    <row r="6" spans="1:9" x14ac:dyDescent="0.25">
      <c r="A6" t="s">
        <v>9</v>
      </c>
      <c r="B6">
        <v>90</v>
      </c>
    </row>
    <row r="7" spans="1:9" x14ac:dyDescent="0.25">
      <c r="A7" t="s">
        <v>11</v>
      </c>
      <c r="B7">
        <v>51.2</v>
      </c>
      <c r="C7" t="s">
        <v>58</v>
      </c>
    </row>
    <row r="8" spans="1:9" x14ac:dyDescent="0.25">
      <c r="A8" t="s">
        <v>12</v>
      </c>
      <c r="B8">
        <v>28.5</v>
      </c>
      <c r="C8" t="s">
        <v>58</v>
      </c>
    </row>
    <row r="9" spans="1:9" x14ac:dyDescent="0.25">
      <c r="A9" t="s">
        <v>56</v>
      </c>
      <c r="B9">
        <v>4350</v>
      </c>
      <c r="C9" t="s">
        <v>57</v>
      </c>
    </row>
    <row r="10" spans="1:9" x14ac:dyDescent="0.25">
      <c r="A10" t="s">
        <v>60</v>
      </c>
    </row>
    <row r="11" spans="1:9" x14ac:dyDescent="0.25">
      <c r="A11" s="11" t="s">
        <v>40</v>
      </c>
      <c r="B11" s="11" t="s">
        <v>41</v>
      </c>
      <c r="C11" s="11" t="s">
        <v>42</v>
      </c>
      <c r="D11" s="11" t="s">
        <v>43</v>
      </c>
      <c r="E11" s="11" t="s">
        <v>44</v>
      </c>
    </row>
    <row r="12" spans="1:9" x14ac:dyDescent="0.25">
      <c r="A12">
        <v>350</v>
      </c>
      <c r="B12">
        <v>4063</v>
      </c>
      <c r="C12">
        <v>0.245</v>
      </c>
      <c r="D12">
        <v>1927</v>
      </c>
      <c r="E12">
        <v>0.56999999999999995</v>
      </c>
      <c r="H12">
        <f>ABS(1-EXP(Delta_V/(D12*9.81)))</f>
        <v>0.25874049271742083</v>
      </c>
      <c r="I12" t="s">
        <v>61</v>
      </c>
    </row>
    <row r="13" spans="1:9" x14ac:dyDescent="0.25">
      <c r="A13">
        <v>350</v>
      </c>
      <c r="B13">
        <v>5999</v>
      </c>
      <c r="C13">
        <v>0.36499999999999999</v>
      </c>
      <c r="D13">
        <v>1977</v>
      </c>
      <c r="E13">
        <v>0.56999999999999995</v>
      </c>
      <c r="H13">
        <f>ABS(1-EXP(Delta_V/(D13*9.81)))</f>
        <v>0.25143625412987358</v>
      </c>
      <c r="I13" t="s">
        <v>62</v>
      </c>
    </row>
    <row r="14" spans="1:9" x14ac:dyDescent="0.25">
      <c r="A14">
        <v>350</v>
      </c>
      <c r="B14">
        <v>8060</v>
      </c>
      <c r="C14">
        <v>0.46500000000000002</v>
      </c>
      <c r="D14">
        <v>1979</v>
      </c>
      <c r="E14">
        <v>0.56000000000000005</v>
      </c>
      <c r="H14">
        <f>ABS(1-EXP(Delta_V/(D14*9.81)))</f>
        <v>0.25115262078030121</v>
      </c>
      <c r="I14" t="s">
        <v>63</v>
      </c>
    </row>
    <row r="15" spans="1:9" x14ac:dyDescent="0.25">
      <c r="A15" t="s">
        <v>38</v>
      </c>
      <c r="B15" t="s">
        <v>39</v>
      </c>
    </row>
    <row r="17" spans="1:9" x14ac:dyDescent="0.25">
      <c r="A17" s="11" t="s">
        <v>40</v>
      </c>
      <c r="B17" s="11" t="s">
        <v>41</v>
      </c>
      <c r="C17" s="11" t="s">
        <v>42</v>
      </c>
      <c r="D17" s="11" t="s">
        <v>43</v>
      </c>
      <c r="E17" s="11" t="s">
        <v>44</v>
      </c>
    </row>
    <row r="18" spans="1:9" x14ac:dyDescent="0.25">
      <c r="A18">
        <v>400</v>
      </c>
      <c r="B18">
        <v>4537</v>
      </c>
      <c r="C18" s="36">
        <v>0.26</v>
      </c>
      <c r="D18">
        <v>2077</v>
      </c>
      <c r="E18" s="8">
        <v>0.58399999999999996</v>
      </c>
      <c r="H18">
        <f>ABS(1-EXP(Delta_V/(D18*9.81)))</f>
        <v>0.23799490108939625</v>
      </c>
      <c r="I18" t="s">
        <v>61</v>
      </c>
    </row>
    <row r="19" spans="1:9" x14ac:dyDescent="0.25">
      <c r="A19">
        <v>400</v>
      </c>
      <c r="B19">
        <v>6295</v>
      </c>
      <c r="C19">
        <v>0.35899999999999999</v>
      </c>
      <c r="D19">
        <v>2165</v>
      </c>
      <c r="E19" s="8">
        <v>0.60599999999999998</v>
      </c>
      <c r="H19">
        <f>ABS(1-EXP(Delta_V/(D19*9.81)))</f>
        <v>0.22729833478315986</v>
      </c>
      <c r="I19" t="s">
        <v>62</v>
      </c>
    </row>
    <row r="20" spans="1:9" x14ac:dyDescent="0.25">
      <c r="A20">
        <v>400</v>
      </c>
      <c r="B20">
        <v>8061</v>
      </c>
      <c r="C20">
        <v>0.44900000000000001</v>
      </c>
      <c r="D20">
        <v>2217</v>
      </c>
      <c r="E20" s="8">
        <v>0.60599999999999998</v>
      </c>
      <c r="H20">
        <f>ABS(1-EXP(Delta_V/(D20*9.81)))</f>
        <v>0.22141657350594768</v>
      </c>
      <c r="I2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5DE3-8B23-4609-8109-D50E1E13BE3E}">
  <dimension ref="A1:S51"/>
  <sheetViews>
    <sheetView topLeftCell="A28" workbookViewId="0">
      <selection activeCell="J60" sqref="J60"/>
    </sheetView>
  </sheetViews>
  <sheetFormatPr defaultRowHeight="15" x14ac:dyDescent="0.25"/>
  <cols>
    <col min="1" max="1" width="17.28515625" customWidth="1"/>
    <col min="2" max="2" width="11.140625" customWidth="1"/>
    <col min="3" max="3" width="9.140625" style="12"/>
    <col min="9" max="9" width="10.7109375" customWidth="1"/>
    <col min="10" max="10" width="12.140625" style="51" customWidth="1"/>
    <col min="11" max="11" width="13.7109375" style="12" customWidth="1"/>
    <col min="13" max="13" width="14.42578125" style="12" customWidth="1"/>
    <col min="14" max="16" width="19.5703125" style="12" customWidth="1"/>
    <col min="17" max="17" width="15.7109375" bestFit="1" customWidth="1"/>
    <col min="19" max="19" width="11.140625" customWidth="1"/>
  </cols>
  <sheetData>
    <row r="1" spans="1:19" x14ac:dyDescent="0.25">
      <c r="A1" s="19" t="s">
        <v>24</v>
      </c>
      <c r="B1" s="53" t="s">
        <v>35</v>
      </c>
      <c r="C1" s="56" t="s">
        <v>135</v>
      </c>
      <c r="D1" s="54" t="s">
        <v>21</v>
      </c>
      <c r="E1" s="53" t="s">
        <v>23</v>
      </c>
      <c r="F1" s="53" t="s">
        <v>22</v>
      </c>
      <c r="G1" s="53" t="s">
        <v>19</v>
      </c>
      <c r="H1" s="53" t="s">
        <v>148</v>
      </c>
      <c r="I1" s="53" t="s">
        <v>25</v>
      </c>
      <c r="J1" s="55" t="s">
        <v>141</v>
      </c>
      <c r="K1" s="56" t="s">
        <v>140</v>
      </c>
      <c r="L1" s="53" t="s">
        <v>142</v>
      </c>
      <c r="M1" s="56" t="s">
        <v>136</v>
      </c>
      <c r="N1" s="56" t="s">
        <v>137</v>
      </c>
      <c r="O1" s="56" t="s">
        <v>138</v>
      </c>
      <c r="P1" s="56" t="s">
        <v>139</v>
      </c>
      <c r="Q1" s="53" t="s">
        <v>36</v>
      </c>
      <c r="S1" s="11"/>
    </row>
    <row r="2" spans="1:19" x14ac:dyDescent="0.25">
      <c r="A2" t="s">
        <v>28</v>
      </c>
      <c r="B2" s="9">
        <v>70.007999999999996</v>
      </c>
      <c r="C2" s="48">
        <f t="shared" ref="C2:C10" si="0">E2/B2</f>
        <v>17.349017255170839</v>
      </c>
      <c r="D2" s="9">
        <v>1772.29</v>
      </c>
      <c r="E2" s="9">
        <v>1214.57</v>
      </c>
      <c r="F2" s="9">
        <v>4000</v>
      </c>
      <c r="G2" s="9">
        <f>SUM(D2:F2)</f>
        <v>6986.86</v>
      </c>
      <c r="H2" s="9">
        <f t="shared" ref="H2:H10" si="1">Q2*1.4</f>
        <v>2568.86</v>
      </c>
      <c r="I2" s="9">
        <f>SUM(G2,H2)</f>
        <v>9555.7199999999993</v>
      </c>
      <c r="J2" s="50">
        <f t="shared" ref="J2:J10" si="2">E2/I2</f>
        <v>0.12710397541995788</v>
      </c>
      <c r="K2" s="12">
        <f t="shared" ref="K2:K10" si="3">P2*(1-P2)</f>
        <v>0.16944430097016316</v>
      </c>
      <c r="L2" s="52">
        <f>ABS(J2-K2)</f>
        <v>4.2340325550205282E-2</v>
      </c>
      <c r="M2" s="49">
        <f t="shared" ref="M2:M10" si="4">1/G2 - 1/I2</f>
        <v>3.8476448601710225E-5</v>
      </c>
      <c r="N2" s="12">
        <f t="shared" ref="N2:N10" si="5">SQRT(0.57*E2*M2)</f>
        <v>0.16320978494429228</v>
      </c>
      <c r="O2" s="12">
        <f t="shared" ref="O2:O10" si="6">SQRT(0.6*E2*M2)</f>
        <v>0.16744970620131738</v>
      </c>
      <c r="P2" s="12">
        <f>1-(O2/SQRT(0.6))</f>
        <v>0.78382335885165766</v>
      </c>
      <c r="Q2" s="9">
        <v>1834.9</v>
      </c>
      <c r="S2" s="14"/>
    </row>
    <row r="3" spans="1:19" x14ac:dyDescent="0.25">
      <c r="B3" s="9">
        <v>70.007999999999996</v>
      </c>
      <c r="C3" s="48">
        <f t="shared" si="0"/>
        <v>17.349017255170839</v>
      </c>
      <c r="D3" s="9">
        <v>1772.29</v>
      </c>
      <c r="E3" s="9">
        <v>1214.57</v>
      </c>
      <c r="F3" s="9">
        <v>8000</v>
      </c>
      <c r="G3" s="9">
        <f t="shared" ref="G3:G30" si="7">SUM(D3:F3)</f>
        <v>10986.86</v>
      </c>
      <c r="H3" s="9">
        <f t="shared" si="1"/>
        <v>4039.56</v>
      </c>
      <c r="I3" s="9">
        <f t="shared" ref="I3:I30" si="8">SUM(G3,H3)</f>
        <v>15026.42</v>
      </c>
      <c r="J3" s="50">
        <f t="shared" si="2"/>
        <v>8.082896658019674E-2</v>
      </c>
      <c r="K3" s="12">
        <f t="shared" si="3"/>
        <v>0.14267212478007296</v>
      </c>
      <c r="L3" s="52">
        <f t="shared" ref="L3:L10" si="9">ABS(J3-K3)</f>
        <v>6.1843158199876222E-2</v>
      </c>
      <c r="M3" s="49">
        <f t="shared" si="4"/>
        <v>2.4468364926789399E-5</v>
      </c>
      <c r="N3" s="12">
        <f t="shared" si="5"/>
        <v>0.13015209922934182</v>
      </c>
      <c r="O3" s="12">
        <f t="shared" si="6"/>
        <v>0.13353323628774358</v>
      </c>
      <c r="P3" s="12">
        <f t="shared" ref="P3:P30" si="10">1-(O3/SQRT(0.6))</f>
        <v>0.82760933323079644</v>
      </c>
      <c r="Q3" s="9">
        <v>2885.4</v>
      </c>
      <c r="S3" s="15"/>
    </row>
    <row r="4" spans="1:19" x14ac:dyDescent="0.25">
      <c r="B4" s="9">
        <v>70.007999999999996</v>
      </c>
      <c r="C4" s="48">
        <f t="shared" si="0"/>
        <v>17.349017255170839</v>
      </c>
      <c r="D4" s="9">
        <v>1772.29</v>
      </c>
      <c r="E4" s="9">
        <v>1214.57</v>
      </c>
      <c r="F4" s="9">
        <v>12000</v>
      </c>
      <c r="G4" s="9">
        <f t="shared" si="7"/>
        <v>14986.86</v>
      </c>
      <c r="H4" s="9">
        <f t="shared" si="1"/>
        <v>5510.26</v>
      </c>
      <c r="I4" s="9">
        <f t="shared" si="8"/>
        <v>20497.120000000003</v>
      </c>
      <c r="J4" s="50">
        <f t="shared" si="2"/>
        <v>5.9255641768209376E-2</v>
      </c>
      <c r="K4" s="12">
        <f t="shared" si="3"/>
        <v>0.12581644758339436</v>
      </c>
      <c r="L4" s="52">
        <f t="shared" si="9"/>
        <v>6.6560805815184976E-2</v>
      </c>
      <c r="M4" s="49">
        <f t="shared" si="4"/>
        <v>1.793777603848294E-5</v>
      </c>
      <c r="N4" s="12">
        <f t="shared" si="5"/>
        <v>0.11143792104371082</v>
      </c>
      <c r="O4" s="12">
        <f t="shared" si="6"/>
        <v>0.11433289459222194</v>
      </c>
      <c r="P4" s="12">
        <f t="shared" si="10"/>
        <v>0.8523968677735454</v>
      </c>
      <c r="Q4" s="9">
        <v>3935.9</v>
      </c>
      <c r="S4" s="15"/>
    </row>
    <row r="5" spans="1:19" x14ac:dyDescent="0.25">
      <c r="A5" t="s">
        <v>27</v>
      </c>
      <c r="B5" s="9">
        <v>100.98399999999999</v>
      </c>
      <c r="C5" s="48">
        <f t="shared" si="0"/>
        <v>16.456072249069159</v>
      </c>
      <c r="D5" s="9">
        <v>1779.34</v>
      </c>
      <c r="E5" s="9">
        <v>1661.8</v>
      </c>
      <c r="F5" s="9">
        <v>4000</v>
      </c>
      <c r="G5" s="9">
        <f t="shared" si="7"/>
        <v>7441.1399999999994</v>
      </c>
      <c r="H5" s="9">
        <f t="shared" si="1"/>
        <v>2735.88</v>
      </c>
      <c r="I5" s="9">
        <f t="shared" si="8"/>
        <v>10177.02</v>
      </c>
      <c r="J5" s="50">
        <f t="shared" si="2"/>
        <v>0.16328945015338478</v>
      </c>
      <c r="K5" s="12">
        <f t="shared" si="3"/>
        <v>0.18498701571040813</v>
      </c>
      <c r="L5" s="52">
        <f t="shared" si="9"/>
        <v>2.1697565557023346E-2</v>
      </c>
      <c r="M5" s="49">
        <f t="shared" si="4"/>
        <v>3.6127419421457812E-5</v>
      </c>
      <c r="N5" s="12">
        <f t="shared" si="5"/>
        <v>0.18498873205930624</v>
      </c>
      <c r="O5" s="12">
        <f t="shared" si="6"/>
        <v>0.18979443447252914</v>
      </c>
      <c r="P5" s="12">
        <f t="shared" si="10"/>
        <v>0.7549764386950133</v>
      </c>
      <c r="Q5" s="9">
        <v>1954.2</v>
      </c>
      <c r="S5" s="15"/>
    </row>
    <row r="6" spans="1:19" x14ac:dyDescent="0.25">
      <c r="B6" s="9">
        <v>100.98399999999999</v>
      </c>
      <c r="C6" s="48">
        <f t="shared" si="0"/>
        <v>16.456072249069159</v>
      </c>
      <c r="D6" s="9">
        <v>1646.56</v>
      </c>
      <c r="E6" s="9">
        <v>1661.8</v>
      </c>
      <c r="F6" s="9">
        <v>8000</v>
      </c>
      <c r="G6" s="9">
        <f t="shared" si="7"/>
        <v>11308.36</v>
      </c>
      <c r="H6" s="9">
        <f t="shared" si="1"/>
        <v>4206.58</v>
      </c>
      <c r="I6" s="9">
        <f t="shared" si="8"/>
        <v>15514.94</v>
      </c>
      <c r="J6" s="50">
        <f t="shared" si="2"/>
        <v>0.10710966333095712</v>
      </c>
      <c r="K6" s="12">
        <f t="shared" si="3"/>
        <v>0.15976496316204664</v>
      </c>
      <c r="L6" s="52">
        <f t="shared" si="9"/>
        <v>5.2655299831089519E-2</v>
      </c>
      <c r="M6" s="49">
        <f t="shared" si="4"/>
        <v>2.3976148870352015E-5</v>
      </c>
      <c r="N6" s="12">
        <f t="shared" si="5"/>
        <v>0.15070113333969343</v>
      </c>
      <c r="O6" s="12">
        <f t="shared" si="6"/>
        <v>0.15461610044122373</v>
      </c>
      <c r="P6" s="12">
        <f t="shared" si="10"/>
        <v>0.80039147264520238</v>
      </c>
      <c r="Q6" s="9">
        <v>3004.7</v>
      </c>
      <c r="S6" s="14"/>
    </row>
    <row r="7" spans="1:19" x14ac:dyDescent="0.25">
      <c r="B7" s="9">
        <v>100.98399999999999</v>
      </c>
      <c r="C7" s="48">
        <f t="shared" si="0"/>
        <v>16.456072249069159</v>
      </c>
      <c r="D7" s="9">
        <v>1646.56</v>
      </c>
      <c r="E7" s="9">
        <v>1661.8</v>
      </c>
      <c r="F7" s="9">
        <v>12000</v>
      </c>
      <c r="G7" s="9">
        <f t="shared" si="7"/>
        <v>15308.36</v>
      </c>
      <c r="H7" s="9">
        <f t="shared" si="1"/>
        <v>5677.28</v>
      </c>
      <c r="I7" s="9">
        <f t="shared" si="8"/>
        <v>20985.64</v>
      </c>
      <c r="J7" s="50">
        <f t="shared" si="2"/>
        <v>7.9187482488025152E-2</v>
      </c>
      <c r="K7" s="12">
        <f t="shared" si="3"/>
        <v>0.14200214023588173</v>
      </c>
      <c r="L7" s="52">
        <f t="shared" si="9"/>
        <v>6.2814657747856578E-2</v>
      </c>
      <c r="M7" s="49">
        <f t="shared" si="4"/>
        <v>1.7672151608104342E-5</v>
      </c>
      <c r="N7" s="12">
        <f t="shared" si="5"/>
        <v>0.12938130266440451</v>
      </c>
      <c r="O7" s="12">
        <f t="shared" si="6"/>
        <v>0.13274241569825629</v>
      </c>
      <c r="P7" s="12">
        <f t="shared" si="10"/>
        <v>0.82863027822177049</v>
      </c>
      <c r="Q7" s="9">
        <v>4055.2</v>
      </c>
      <c r="S7" s="14"/>
    </row>
    <row r="8" spans="1:19" x14ac:dyDescent="0.25">
      <c r="A8" s="18" t="s">
        <v>26</v>
      </c>
      <c r="B8" s="13">
        <v>133.96</v>
      </c>
      <c r="C8" s="48">
        <f t="shared" si="0"/>
        <v>16.037025977903852</v>
      </c>
      <c r="D8" s="13">
        <v>1787.56</v>
      </c>
      <c r="E8" s="13">
        <v>2148.3200000000002</v>
      </c>
      <c r="F8" s="13">
        <v>4000</v>
      </c>
      <c r="G8" s="13">
        <f t="shared" si="7"/>
        <v>7935.88</v>
      </c>
      <c r="H8" s="9">
        <f t="shared" si="1"/>
        <v>2917.8799999999997</v>
      </c>
      <c r="I8" s="9">
        <f t="shared" si="8"/>
        <v>10853.76</v>
      </c>
      <c r="J8" s="50">
        <f t="shared" si="2"/>
        <v>0.19793325078129609</v>
      </c>
      <c r="K8" s="12">
        <f t="shared" si="3"/>
        <v>0.19699468891772903</v>
      </c>
      <c r="L8" s="52">
        <f t="shared" si="9"/>
        <v>9.3856186356705562E-4</v>
      </c>
      <c r="M8" s="49">
        <f t="shared" si="4"/>
        <v>3.3875999745484067E-5</v>
      </c>
      <c r="N8" s="12">
        <f t="shared" si="5"/>
        <v>0.20367277194248243</v>
      </c>
      <c r="O8" s="12">
        <f t="shared" si="6"/>
        <v>0.20896385492216352</v>
      </c>
      <c r="P8" s="12">
        <f t="shared" si="10"/>
        <v>0.73022882330905259</v>
      </c>
      <c r="Q8" s="13">
        <v>2084.1999999999998</v>
      </c>
      <c r="S8" s="15"/>
    </row>
    <row r="9" spans="1:19" x14ac:dyDescent="0.25">
      <c r="B9" s="13">
        <v>133.96</v>
      </c>
      <c r="C9" s="48">
        <f t="shared" si="0"/>
        <v>16.037025977903852</v>
      </c>
      <c r="D9" s="13">
        <v>1787.56</v>
      </c>
      <c r="E9" s="13">
        <v>2148.3200000000002</v>
      </c>
      <c r="F9" s="13">
        <v>8000</v>
      </c>
      <c r="G9" s="13">
        <f t="shared" si="7"/>
        <v>11935.880000000001</v>
      </c>
      <c r="H9" s="9">
        <f t="shared" si="1"/>
        <v>4388.579999999999</v>
      </c>
      <c r="I9" s="9">
        <f t="shared" si="8"/>
        <v>16324.46</v>
      </c>
      <c r="J9" s="50">
        <f t="shared" si="2"/>
        <v>0.13160129033364659</v>
      </c>
      <c r="K9" s="12">
        <f t="shared" si="3"/>
        <v>0.17158359816484933</v>
      </c>
      <c r="L9" s="52">
        <f t="shared" si="9"/>
        <v>3.998230783120274E-2</v>
      </c>
      <c r="M9" s="49">
        <f t="shared" si="4"/>
        <v>2.2523234143663904E-5</v>
      </c>
      <c r="N9" s="12">
        <f t="shared" si="5"/>
        <v>0.16607424602882936</v>
      </c>
      <c r="O9" s="12">
        <f t="shared" si="6"/>
        <v>0.17038858126444278</v>
      </c>
      <c r="P9" s="12">
        <f t="shared" si="10"/>
        <v>0.78002928745963462</v>
      </c>
      <c r="Q9" s="13">
        <v>3134.7</v>
      </c>
      <c r="S9" s="15"/>
    </row>
    <row r="10" spans="1:19" x14ac:dyDescent="0.25">
      <c r="B10" s="13">
        <v>133.96</v>
      </c>
      <c r="C10" s="48">
        <f t="shared" si="0"/>
        <v>16.037025977903852</v>
      </c>
      <c r="D10" s="13">
        <v>1787.56</v>
      </c>
      <c r="E10" s="13">
        <v>2148.3200000000002</v>
      </c>
      <c r="F10" s="13">
        <v>12000</v>
      </c>
      <c r="G10" s="13">
        <f t="shared" si="7"/>
        <v>15935.880000000001</v>
      </c>
      <c r="H10" s="9">
        <f t="shared" si="1"/>
        <v>5859.28</v>
      </c>
      <c r="I10" s="9">
        <f t="shared" si="8"/>
        <v>21795.16</v>
      </c>
      <c r="J10" s="50">
        <f t="shared" si="2"/>
        <v>9.8568673044841154E-2</v>
      </c>
      <c r="K10" s="12">
        <f t="shared" si="3"/>
        <v>0.15413063279839243</v>
      </c>
      <c r="L10" s="52">
        <f t="shared" si="9"/>
        <v>5.5561959753551271E-2</v>
      </c>
      <c r="M10" s="49">
        <f t="shared" si="4"/>
        <v>1.686973031968721E-5</v>
      </c>
      <c r="N10" s="12">
        <f t="shared" si="5"/>
        <v>0.14372786804591009</v>
      </c>
      <c r="O10" s="12">
        <f t="shared" si="6"/>
        <v>0.14746168120645531</v>
      </c>
      <c r="P10" s="12">
        <f t="shared" si="10"/>
        <v>0.80962778816121717</v>
      </c>
      <c r="Q10" s="13">
        <v>4185.2</v>
      </c>
      <c r="S10" s="15"/>
    </row>
    <row r="11" spans="1:19" x14ac:dyDescent="0.25">
      <c r="B11" s="10"/>
      <c r="C11" s="48"/>
      <c r="D11" s="9"/>
      <c r="E11" s="9"/>
      <c r="F11" s="9"/>
      <c r="G11" s="9"/>
      <c r="H11" s="9"/>
      <c r="I11" s="9"/>
      <c r="J11" s="50"/>
      <c r="L11" s="9"/>
      <c r="M11" s="49"/>
      <c r="Q11" s="9"/>
      <c r="S11" s="15"/>
    </row>
    <row r="12" spans="1:19" x14ac:dyDescent="0.25">
      <c r="A12" s="12" t="s">
        <v>29</v>
      </c>
      <c r="B12" s="13">
        <v>135.01599999999999</v>
      </c>
      <c r="C12" s="48">
        <f t="shared" ref="C12:C20" si="11">E12/B12</f>
        <v>20.316925401433906</v>
      </c>
      <c r="D12" s="13">
        <v>2499.96</v>
      </c>
      <c r="E12" s="13">
        <v>2743.11</v>
      </c>
      <c r="F12" s="13">
        <v>4000</v>
      </c>
      <c r="G12" s="13">
        <f t="shared" si="7"/>
        <v>9243.07</v>
      </c>
      <c r="H12" s="13">
        <f t="shared" ref="H12:H20" si="12">Q12*1.4</f>
        <v>3398.5</v>
      </c>
      <c r="I12" s="13">
        <f t="shared" si="8"/>
        <v>12641.57</v>
      </c>
      <c r="J12" s="50">
        <f t="shared" ref="J12:J20" si="13">E12/I12</f>
        <v>0.21699124396732369</v>
      </c>
      <c r="K12" s="12">
        <f t="shared" ref="K12:K20" si="14">P12*(1-P12)</f>
        <v>0.20267625391378843</v>
      </c>
      <c r="L12" s="52">
        <f t="shared" ref="L12:L30" si="15">ABS(J12-K12)</f>
        <v>1.4314990053535259E-2</v>
      </c>
      <c r="M12" s="49">
        <f t="shared" ref="M12:M20" si="16">1/G12 - 1/I12</f>
        <v>2.9085063638198061E-5</v>
      </c>
      <c r="N12" s="12">
        <f t="shared" ref="N12:N20" si="17">SQRT(0.57*E12*M12)</f>
        <v>0.21325245949917943</v>
      </c>
      <c r="O12" s="12">
        <f t="shared" ref="O12:O20" si="18">SQRT(0.6*E12*M12)</f>
        <v>0.21879240697507418</v>
      </c>
      <c r="P12" s="12">
        <f t="shared" si="10"/>
        <v>0.71754021716963412</v>
      </c>
      <c r="Q12" s="13">
        <v>2427.5</v>
      </c>
      <c r="S12" s="15"/>
    </row>
    <row r="13" spans="1:19" x14ac:dyDescent="0.25">
      <c r="B13" s="13">
        <v>135.01599999999999</v>
      </c>
      <c r="C13" s="48">
        <f t="shared" si="11"/>
        <v>20.316925401433906</v>
      </c>
      <c r="D13" s="13">
        <v>2499.96</v>
      </c>
      <c r="E13" s="13">
        <v>2743.11</v>
      </c>
      <c r="F13" s="13">
        <v>8000</v>
      </c>
      <c r="G13" s="13">
        <f t="shared" si="7"/>
        <v>13243.07</v>
      </c>
      <c r="H13" s="13">
        <f t="shared" si="12"/>
        <v>4869.2</v>
      </c>
      <c r="I13" s="13">
        <f t="shared" si="8"/>
        <v>18112.27</v>
      </c>
      <c r="J13" s="50">
        <f t="shared" si="13"/>
        <v>0.15145037038427542</v>
      </c>
      <c r="K13" s="12">
        <f t="shared" si="14"/>
        <v>0.18029184503848453</v>
      </c>
      <c r="L13" s="52">
        <f t="shared" si="15"/>
        <v>2.8841474654209109E-2</v>
      </c>
      <c r="M13" s="49">
        <f t="shared" si="16"/>
        <v>2.0300000803717477E-5</v>
      </c>
      <c r="N13" s="12">
        <f t="shared" si="17"/>
        <v>0.17815871313710901</v>
      </c>
      <c r="O13" s="12">
        <f t="shared" si="18"/>
        <v>0.18278698291402282</v>
      </c>
      <c r="P13" s="12">
        <f t="shared" si="10"/>
        <v>0.76402301975683007</v>
      </c>
      <c r="Q13" s="9">
        <v>3478</v>
      </c>
    </row>
    <row r="14" spans="1:19" x14ac:dyDescent="0.25">
      <c r="B14" s="13">
        <v>135.01599999999999</v>
      </c>
      <c r="C14" s="48">
        <f t="shared" si="11"/>
        <v>20.316925401433906</v>
      </c>
      <c r="D14" s="13">
        <v>2499.96</v>
      </c>
      <c r="E14" s="13">
        <v>2743.11</v>
      </c>
      <c r="F14" s="13">
        <v>12000</v>
      </c>
      <c r="G14" s="13">
        <f t="shared" si="7"/>
        <v>17243.07</v>
      </c>
      <c r="H14" s="13">
        <f t="shared" si="12"/>
        <v>6339.9</v>
      </c>
      <c r="I14" s="13">
        <f t="shared" si="8"/>
        <v>23582.97</v>
      </c>
      <c r="J14" s="50">
        <f t="shared" si="13"/>
        <v>0.11631741040250655</v>
      </c>
      <c r="K14" s="12">
        <f t="shared" si="14"/>
        <v>0.16403536172725502</v>
      </c>
      <c r="L14" s="52">
        <f t="shared" si="15"/>
        <v>4.7717951324748473E-2</v>
      </c>
      <c r="M14" s="49">
        <f t="shared" si="16"/>
        <v>1.5590832939237682E-5</v>
      </c>
      <c r="N14" s="12">
        <f t="shared" si="17"/>
        <v>0.15613263833693708</v>
      </c>
      <c r="O14" s="12">
        <f t="shared" si="18"/>
        <v>0.16018870698763807</v>
      </c>
      <c r="P14" s="12">
        <f t="shared" si="10"/>
        <v>0.79319726852879269</v>
      </c>
      <c r="Q14" s="9">
        <v>4528.5</v>
      </c>
    </row>
    <row r="15" spans="1:19" x14ac:dyDescent="0.25">
      <c r="A15" s="12" t="s">
        <v>30</v>
      </c>
      <c r="B15" s="13">
        <v>196.96799999999999</v>
      </c>
      <c r="C15" s="48">
        <f t="shared" si="11"/>
        <v>19.504081881320825</v>
      </c>
      <c r="D15" s="13">
        <v>2514.06</v>
      </c>
      <c r="E15" s="13">
        <v>3841.68</v>
      </c>
      <c r="F15" s="13">
        <v>4000</v>
      </c>
      <c r="G15" s="13">
        <f t="shared" si="7"/>
        <v>10355.74</v>
      </c>
      <c r="H15" s="13">
        <f t="shared" si="12"/>
        <v>3807.5799999999995</v>
      </c>
      <c r="I15" s="13">
        <f t="shared" si="8"/>
        <v>14163.32</v>
      </c>
      <c r="J15" s="50">
        <f t="shared" si="13"/>
        <v>0.27124148857753688</v>
      </c>
      <c r="K15" s="12">
        <f t="shared" si="14"/>
        <v>0.21607032873683346</v>
      </c>
      <c r="L15" s="52">
        <f t="shared" si="15"/>
        <v>5.5171159840703421E-2</v>
      </c>
      <c r="M15" s="49">
        <f t="shared" si="16"/>
        <v>2.5959889007197515E-5</v>
      </c>
      <c r="N15" s="12">
        <f t="shared" si="17"/>
        <v>0.23842370739644833</v>
      </c>
      <c r="O15" s="12">
        <f t="shared" si="18"/>
        <v>0.24461756241264102</v>
      </c>
      <c r="P15" s="12">
        <f t="shared" si="10"/>
        <v>0.68420008486199602</v>
      </c>
      <c r="Q15" s="13">
        <v>2719.7</v>
      </c>
    </row>
    <row r="16" spans="1:19" x14ac:dyDescent="0.25">
      <c r="B16" s="13">
        <v>196.96799999999999</v>
      </c>
      <c r="C16" s="48">
        <f t="shared" si="11"/>
        <v>19.504081881320825</v>
      </c>
      <c r="D16" s="13">
        <v>2514.06</v>
      </c>
      <c r="E16" s="13">
        <v>3841.68</v>
      </c>
      <c r="F16" s="13">
        <v>8000</v>
      </c>
      <c r="G16" s="13">
        <f t="shared" si="7"/>
        <v>14355.74</v>
      </c>
      <c r="H16" s="13">
        <f t="shared" si="12"/>
        <v>5278.28</v>
      </c>
      <c r="I16" s="13">
        <f t="shared" si="8"/>
        <v>19634.02</v>
      </c>
      <c r="J16" s="50">
        <f t="shared" si="13"/>
        <v>0.19566446402723434</v>
      </c>
      <c r="K16" s="12">
        <f t="shared" si="14"/>
        <v>0.19627752799259834</v>
      </c>
      <c r="L16" s="52">
        <f t="shared" si="15"/>
        <v>6.1306396536400798E-4</v>
      </c>
      <c r="M16" s="49">
        <f t="shared" si="16"/>
        <v>1.8726542975721531E-5</v>
      </c>
      <c r="N16" s="12">
        <f t="shared" si="17"/>
        <v>0.20250083901755281</v>
      </c>
      <c r="O16" s="12">
        <f t="shared" si="18"/>
        <v>0.20776147711108989</v>
      </c>
      <c r="P16" s="12">
        <f t="shared" si="10"/>
        <v>0.73178108638843176</v>
      </c>
      <c r="Q16" s="13">
        <v>3770.2</v>
      </c>
    </row>
    <row r="17" spans="1:17" x14ac:dyDescent="0.25">
      <c r="B17" s="13">
        <v>196.96799999999999</v>
      </c>
      <c r="C17" s="48">
        <f t="shared" si="11"/>
        <v>19.504081881320825</v>
      </c>
      <c r="D17" s="13">
        <v>2514.06</v>
      </c>
      <c r="E17" s="13">
        <v>3841.68</v>
      </c>
      <c r="F17" s="13">
        <v>12000</v>
      </c>
      <c r="G17" s="13">
        <f t="shared" si="7"/>
        <v>18355.739999999998</v>
      </c>
      <c r="H17" s="13">
        <f t="shared" si="12"/>
        <v>6748.98</v>
      </c>
      <c r="I17" s="13">
        <f t="shared" si="8"/>
        <v>25104.719999999998</v>
      </c>
      <c r="J17" s="50">
        <f t="shared" si="13"/>
        <v>0.15302620383736604</v>
      </c>
      <c r="K17" s="12">
        <f t="shared" si="14"/>
        <v>0.18093654452704319</v>
      </c>
      <c r="L17" s="52">
        <f t="shared" si="15"/>
        <v>2.7910340689677154E-2</v>
      </c>
      <c r="M17" s="49">
        <f t="shared" si="16"/>
        <v>1.4645724545076171E-5</v>
      </c>
      <c r="N17" s="12">
        <f t="shared" si="17"/>
        <v>0.17908262514852491</v>
      </c>
      <c r="O17" s="12">
        <f t="shared" si="18"/>
        <v>0.18373489663696696</v>
      </c>
      <c r="P17" s="12">
        <f t="shared" si="10"/>
        <v>0.76279926840262857</v>
      </c>
      <c r="Q17" s="13">
        <v>4820.7</v>
      </c>
    </row>
    <row r="18" spans="1:17" x14ac:dyDescent="0.25">
      <c r="A18" s="12" t="s">
        <v>31</v>
      </c>
      <c r="B18" s="13">
        <v>262.92</v>
      </c>
      <c r="C18" s="48">
        <f t="shared" si="11"/>
        <v>19.088810284497185</v>
      </c>
      <c r="D18" s="13">
        <v>2529.34</v>
      </c>
      <c r="E18" s="13">
        <v>5018.83</v>
      </c>
      <c r="F18" s="13">
        <v>4000</v>
      </c>
      <c r="G18" s="13">
        <f t="shared" si="7"/>
        <v>11548.17</v>
      </c>
      <c r="H18" s="13">
        <f t="shared" si="12"/>
        <v>9800</v>
      </c>
      <c r="I18" s="13">
        <f t="shared" si="8"/>
        <v>21348.17</v>
      </c>
      <c r="J18" s="50">
        <f t="shared" si="13"/>
        <v>0.2350941556114646</v>
      </c>
      <c r="K18" s="12">
        <f t="shared" si="14"/>
        <v>0.24715487823821358</v>
      </c>
      <c r="L18" s="52">
        <f t="shared" si="15"/>
        <v>1.2060722626748982E-2</v>
      </c>
      <c r="M18" s="49">
        <f t="shared" si="16"/>
        <v>3.9751384078825675E-5</v>
      </c>
      <c r="N18" s="12">
        <f t="shared" si="17"/>
        <v>0.33722114436243411</v>
      </c>
      <c r="O18" s="12">
        <f t="shared" si="18"/>
        <v>0.34598159398123995</v>
      </c>
      <c r="P18" s="12">
        <f t="shared" si="10"/>
        <v>0.55333968280545376</v>
      </c>
      <c r="Q18" s="13">
        <v>7000</v>
      </c>
    </row>
    <row r="19" spans="1:17" x14ac:dyDescent="0.25">
      <c r="B19" s="13">
        <v>262.92</v>
      </c>
      <c r="C19" s="48">
        <f t="shared" si="11"/>
        <v>19.088810284497185</v>
      </c>
      <c r="D19" s="13">
        <v>2529.34</v>
      </c>
      <c r="E19" s="13">
        <v>5018.83</v>
      </c>
      <c r="F19" s="13">
        <v>8000</v>
      </c>
      <c r="G19" s="13">
        <f t="shared" si="7"/>
        <v>15548.17</v>
      </c>
      <c r="H19" s="13">
        <f t="shared" si="12"/>
        <v>9800</v>
      </c>
      <c r="I19" s="13">
        <f t="shared" si="8"/>
        <v>25348.17</v>
      </c>
      <c r="J19" s="50">
        <f t="shared" si="13"/>
        <v>0.19799575275059306</v>
      </c>
      <c r="K19" s="12">
        <f t="shared" si="14"/>
        <v>0.22846901241779663</v>
      </c>
      <c r="L19" s="52">
        <f t="shared" si="15"/>
        <v>3.0473259667203573E-2</v>
      </c>
      <c r="M19" s="49">
        <f t="shared" si="16"/>
        <v>2.4865671055661525E-5</v>
      </c>
      <c r="N19" s="12">
        <f t="shared" si="17"/>
        <v>0.26670967032082443</v>
      </c>
      <c r="O19" s="12">
        <f t="shared" si="18"/>
        <v>0.27363834804093418</v>
      </c>
      <c r="P19" s="12">
        <f t="shared" si="10"/>
        <v>0.64673441171791768</v>
      </c>
      <c r="Q19" s="13">
        <v>7000</v>
      </c>
    </row>
    <row r="20" spans="1:17" x14ac:dyDescent="0.25">
      <c r="B20" s="13">
        <v>262.92</v>
      </c>
      <c r="C20" s="48">
        <f t="shared" si="11"/>
        <v>19.088810284497185</v>
      </c>
      <c r="D20" s="13">
        <v>2529.34</v>
      </c>
      <c r="E20" s="13">
        <v>5018.83</v>
      </c>
      <c r="F20" s="13">
        <v>12000</v>
      </c>
      <c r="G20" s="13">
        <f t="shared" si="7"/>
        <v>19548.169999999998</v>
      </c>
      <c r="H20" s="13">
        <f t="shared" si="12"/>
        <v>9800</v>
      </c>
      <c r="I20" s="13">
        <f t="shared" si="8"/>
        <v>29348.17</v>
      </c>
      <c r="J20" s="50">
        <f t="shared" si="13"/>
        <v>0.17100998120155364</v>
      </c>
      <c r="K20" s="12">
        <f t="shared" si="14"/>
        <v>0.20706805983511328</v>
      </c>
      <c r="L20" s="52">
        <f t="shared" si="15"/>
        <v>3.6058078633559643E-2</v>
      </c>
      <c r="M20" s="49">
        <f t="shared" si="16"/>
        <v>1.7082008845566346E-5</v>
      </c>
      <c r="N20" s="12">
        <f t="shared" si="17"/>
        <v>0.22105896977730724</v>
      </c>
      <c r="O20" s="12">
        <f t="shared" si="18"/>
        <v>0.22680171752576356</v>
      </c>
      <c r="P20" s="12">
        <f t="shared" si="10"/>
        <v>0.707200241710493</v>
      </c>
      <c r="Q20" s="13">
        <v>7000</v>
      </c>
    </row>
    <row r="21" spans="1:17" s="12" customFormat="1" x14ac:dyDescent="0.25">
      <c r="B21" s="14"/>
      <c r="C21" s="48"/>
      <c r="D21" s="13"/>
      <c r="E21" s="13"/>
      <c r="F21" s="13"/>
      <c r="G21" s="13"/>
      <c r="H21" s="13"/>
      <c r="I21" s="13"/>
      <c r="J21" s="50"/>
      <c r="L21" s="13"/>
      <c r="M21" s="49"/>
      <c r="Q21" s="13"/>
    </row>
    <row r="22" spans="1:17" x14ac:dyDescent="0.25">
      <c r="A22" s="59" t="s">
        <v>32</v>
      </c>
      <c r="B22" s="13">
        <v>265.03199999999998</v>
      </c>
      <c r="C22" s="48">
        <f t="shared" ref="C22:C30" si="19">E22/B22</f>
        <v>26.890639620875973</v>
      </c>
      <c r="D22" s="13">
        <v>3955.31</v>
      </c>
      <c r="E22" s="13">
        <v>7126.88</v>
      </c>
      <c r="F22" s="13">
        <v>4000</v>
      </c>
      <c r="G22" s="13">
        <f t="shared" si="7"/>
        <v>15082.19</v>
      </c>
      <c r="H22" s="13">
        <f t="shared" ref="H22:H30" si="20">Q22*1.4</f>
        <v>18060</v>
      </c>
      <c r="I22" s="13">
        <f t="shared" si="8"/>
        <v>33142.19</v>
      </c>
      <c r="J22" s="50">
        <f t="shared" ref="J22:J30" si="21">E22/I22</f>
        <v>0.21503950101064534</v>
      </c>
      <c r="K22" s="12">
        <f t="shared" ref="K22:K30" si="22">P22*(1-P22)</f>
        <v>0.24994462740188836</v>
      </c>
      <c r="L22" s="52">
        <f t="shared" si="15"/>
        <v>3.4905126391243019E-2</v>
      </c>
      <c r="M22" s="49">
        <f t="shared" ref="M22:M30" si="23">1/G22 - 1/I22</f>
        <v>3.6130347254815013E-5</v>
      </c>
      <c r="N22" s="12">
        <f t="shared" ref="N22:N30" si="24">SQRT(0.57*E22*M22)</f>
        <v>0.3831097624294319</v>
      </c>
      <c r="O22" s="12">
        <f t="shared" ref="O22:O30" si="25">SQRT(0.6*E22*M22)</f>
        <v>0.3930623227250834</v>
      </c>
      <c r="P22" s="12">
        <f t="shared" si="10"/>
        <v>0.49255872335471562</v>
      </c>
      <c r="Q22" s="13">
        <v>12900</v>
      </c>
    </row>
    <row r="23" spans="1:17" x14ac:dyDescent="0.25">
      <c r="B23" s="13">
        <v>265.03199999999998</v>
      </c>
      <c r="C23" s="48">
        <f t="shared" si="19"/>
        <v>26.890639620875973</v>
      </c>
      <c r="D23" s="13">
        <v>3955.31</v>
      </c>
      <c r="E23" s="13">
        <v>7126.88</v>
      </c>
      <c r="F23" s="13">
        <v>12000</v>
      </c>
      <c r="G23" s="13">
        <f t="shared" si="7"/>
        <v>23082.190000000002</v>
      </c>
      <c r="H23" s="13">
        <f t="shared" si="20"/>
        <v>18060</v>
      </c>
      <c r="I23" s="13">
        <f t="shared" si="8"/>
        <v>41142.19</v>
      </c>
      <c r="J23" s="50">
        <f t="shared" si="21"/>
        <v>0.17322558667878399</v>
      </c>
      <c r="K23" s="12">
        <f t="shared" si="22"/>
        <v>0.23261593131910099</v>
      </c>
      <c r="L23" s="52">
        <f t="shared" si="15"/>
        <v>5.9390344640317005E-2</v>
      </c>
      <c r="M23" s="49">
        <f t="shared" si="23"/>
        <v>1.9017495795678863E-5</v>
      </c>
      <c r="N23" s="12">
        <f t="shared" si="24"/>
        <v>0.27794816773761155</v>
      </c>
      <c r="O23" s="12">
        <f t="shared" si="25"/>
        <v>0.28516880310052267</v>
      </c>
      <c r="P23" s="12">
        <f t="shared" si="10"/>
        <v>0.63184865824459124</v>
      </c>
      <c r="Q23" s="13">
        <v>12900</v>
      </c>
    </row>
    <row r="24" spans="1:17" x14ac:dyDescent="0.25">
      <c r="B24" s="13">
        <v>265.03199999999998</v>
      </c>
      <c r="C24" s="48">
        <f t="shared" si="19"/>
        <v>26.890639620875973</v>
      </c>
      <c r="D24" s="13">
        <v>3955.31</v>
      </c>
      <c r="E24" s="13">
        <v>7126.88</v>
      </c>
      <c r="F24" s="13">
        <v>20000</v>
      </c>
      <c r="G24" s="13">
        <f t="shared" si="7"/>
        <v>31082.190000000002</v>
      </c>
      <c r="H24" s="13">
        <f t="shared" si="20"/>
        <v>18060</v>
      </c>
      <c r="I24" s="13">
        <f t="shared" si="8"/>
        <v>49142.19</v>
      </c>
      <c r="J24" s="50">
        <f t="shared" si="21"/>
        <v>0.145025689738288</v>
      </c>
      <c r="K24" s="12">
        <f t="shared" si="22"/>
        <v>0.20601988297853341</v>
      </c>
      <c r="L24" s="52">
        <f t="shared" si="15"/>
        <v>6.0994193240245409E-2</v>
      </c>
      <c r="M24" s="49">
        <f t="shared" si="23"/>
        <v>1.1823651714821017E-5</v>
      </c>
      <c r="N24" s="12">
        <f t="shared" si="24"/>
        <v>0.21916084447727988</v>
      </c>
      <c r="O24" s="12">
        <f t="shared" si="25"/>
        <v>0.22485428205839034</v>
      </c>
      <c r="P24" s="12">
        <f t="shared" si="10"/>
        <v>0.70971437008814298</v>
      </c>
      <c r="Q24" s="13">
        <v>12900</v>
      </c>
    </row>
    <row r="25" spans="1:17" x14ac:dyDescent="0.25">
      <c r="A25" t="s">
        <v>33</v>
      </c>
      <c r="B25" s="13">
        <v>388.93599999999998</v>
      </c>
      <c r="C25" s="48">
        <f t="shared" si="19"/>
        <v>26.072207252607114</v>
      </c>
      <c r="D25" s="13">
        <v>3983.51</v>
      </c>
      <c r="E25" s="13">
        <v>10140.42</v>
      </c>
      <c r="F25" s="13">
        <v>16000</v>
      </c>
      <c r="G25" s="13">
        <f t="shared" si="7"/>
        <v>30123.93</v>
      </c>
      <c r="H25" s="13">
        <f t="shared" si="20"/>
        <v>17500</v>
      </c>
      <c r="I25" s="13">
        <f t="shared" si="8"/>
        <v>47623.93</v>
      </c>
      <c r="J25" s="50">
        <f t="shared" si="21"/>
        <v>0.21292698859585926</v>
      </c>
      <c r="K25" s="12">
        <f t="shared" si="22"/>
        <v>0.22800859848920405</v>
      </c>
      <c r="L25" s="52">
        <f t="shared" si="15"/>
        <v>1.5081609893344783E-2</v>
      </c>
      <c r="M25" s="49">
        <f t="shared" si="23"/>
        <v>1.2198352741090264E-5</v>
      </c>
      <c r="N25" s="12">
        <f t="shared" si="24"/>
        <v>0.26553146604235012</v>
      </c>
      <c r="O25" s="12">
        <f t="shared" si="25"/>
        <v>0.2724295359568854</v>
      </c>
      <c r="P25" s="12">
        <f t="shared" si="10"/>
        <v>0.64829498140798947</v>
      </c>
      <c r="Q25" s="13">
        <v>12500</v>
      </c>
    </row>
    <row r="26" spans="1:17" x14ac:dyDescent="0.25">
      <c r="B26" s="13">
        <v>388.93599999999998</v>
      </c>
      <c r="C26" s="48">
        <f t="shared" si="19"/>
        <v>26.072207252607114</v>
      </c>
      <c r="D26" s="13">
        <v>3983.51</v>
      </c>
      <c r="E26" s="13">
        <v>10140.42</v>
      </c>
      <c r="F26" s="13">
        <v>20000</v>
      </c>
      <c r="G26" s="13">
        <f t="shared" si="7"/>
        <v>34123.93</v>
      </c>
      <c r="H26" s="13">
        <f t="shared" si="20"/>
        <v>17500</v>
      </c>
      <c r="I26" s="13">
        <f t="shared" si="8"/>
        <v>51623.93</v>
      </c>
      <c r="J26" s="50">
        <f t="shared" si="21"/>
        <v>0.19642867174196152</v>
      </c>
      <c r="K26" s="12">
        <f t="shared" si="22"/>
        <v>0.21665324192865515</v>
      </c>
      <c r="L26" s="52">
        <f t="shared" si="15"/>
        <v>2.022457018669363E-2</v>
      </c>
      <c r="M26" s="49">
        <f t="shared" si="23"/>
        <v>9.9340866333028096E-6</v>
      </c>
      <c r="N26" s="12">
        <f t="shared" si="24"/>
        <v>0.23962347995032454</v>
      </c>
      <c r="O26" s="12">
        <f t="shared" si="25"/>
        <v>0.24584850308034395</v>
      </c>
      <c r="P26" s="12">
        <f t="shared" si="10"/>
        <v>0.68261094729326843</v>
      </c>
      <c r="Q26" s="13">
        <v>12500</v>
      </c>
    </row>
    <row r="27" spans="1:17" x14ac:dyDescent="0.25">
      <c r="B27" s="13">
        <v>388.93599999999998</v>
      </c>
      <c r="C27" s="48">
        <f t="shared" si="19"/>
        <v>26.072207252607114</v>
      </c>
      <c r="D27" s="13">
        <v>3983.51</v>
      </c>
      <c r="E27" s="13">
        <v>10140.42</v>
      </c>
      <c r="F27" s="13">
        <v>30000</v>
      </c>
      <c r="G27" s="13">
        <f t="shared" si="7"/>
        <v>44123.93</v>
      </c>
      <c r="H27" s="13">
        <f t="shared" si="20"/>
        <v>17500</v>
      </c>
      <c r="I27" s="13">
        <f t="shared" si="8"/>
        <v>61623.93</v>
      </c>
      <c r="J27" s="50">
        <f t="shared" si="21"/>
        <v>0.16455328311582854</v>
      </c>
      <c r="K27" s="12">
        <f t="shared" si="22"/>
        <v>0.19020372660250021</v>
      </c>
      <c r="L27" s="52">
        <f t="shared" si="15"/>
        <v>2.565044348667167E-2</v>
      </c>
      <c r="M27" s="49">
        <f t="shared" si="23"/>
        <v>6.435976804600366E-6</v>
      </c>
      <c r="N27" s="12">
        <f t="shared" si="24"/>
        <v>0.19287353241976002</v>
      </c>
      <c r="O27" s="12">
        <f t="shared" si="25"/>
        <v>0.19788406895286792</v>
      </c>
      <c r="P27" s="12">
        <f t="shared" si="10"/>
        <v>0.74453276548859415</v>
      </c>
      <c r="Q27" s="13">
        <v>12500</v>
      </c>
    </row>
    <row r="28" spans="1:17" x14ac:dyDescent="0.25">
      <c r="A28" t="s">
        <v>34</v>
      </c>
      <c r="B28" s="13">
        <v>520.84</v>
      </c>
      <c r="C28" s="48">
        <f t="shared" si="19"/>
        <v>25.818331925351352</v>
      </c>
      <c r="D28" s="13">
        <v>4015.24</v>
      </c>
      <c r="E28" s="13">
        <v>13447.22</v>
      </c>
      <c r="F28" s="13">
        <v>16000</v>
      </c>
      <c r="G28" s="13">
        <f t="shared" si="7"/>
        <v>33462.46</v>
      </c>
      <c r="H28" s="13">
        <f t="shared" si="20"/>
        <v>26460</v>
      </c>
      <c r="I28" s="13">
        <f t="shared" si="8"/>
        <v>59922.46</v>
      </c>
      <c r="J28" s="50">
        <f t="shared" si="21"/>
        <v>0.22441034630420714</v>
      </c>
      <c r="K28" s="12">
        <f t="shared" si="22"/>
        <v>0.24379805732662924</v>
      </c>
      <c r="L28" s="52">
        <f t="shared" si="15"/>
        <v>1.9387711022422094E-2</v>
      </c>
      <c r="M28" s="49">
        <f t="shared" si="23"/>
        <v>1.3196001025578782E-5</v>
      </c>
      <c r="N28" s="12">
        <f t="shared" si="24"/>
        <v>0.31803495323529235</v>
      </c>
      <c r="O28" s="12">
        <f t="shared" si="25"/>
        <v>0.32629697722582429</v>
      </c>
      <c r="P28" s="12">
        <f t="shared" si="10"/>
        <v>0.57875241376218733</v>
      </c>
      <c r="Q28" s="13">
        <v>18900</v>
      </c>
    </row>
    <row r="29" spans="1:17" x14ac:dyDescent="0.25">
      <c r="B29" s="13">
        <v>520.84</v>
      </c>
      <c r="C29" s="48">
        <f t="shared" si="19"/>
        <v>25.818331925351352</v>
      </c>
      <c r="D29" s="13">
        <v>4015.24</v>
      </c>
      <c r="E29" s="13">
        <v>13447.22</v>
      </c>
      <c r="F29" s="13">
        <v>20000</v>
      </c>
      <c r="G29" s="13">
        <f t="shared" si="7"/>
        <v>37462.46</v>
      </c>
      <c r="H29" s="9">
        <f t="shared" si="20"/>
        <v>26460</v>
      </c>
      <c r="I29" s="13">
        <f t="shared" si="8"/>
        <v>63922.46</v>
      </c>
      <c r="J29" s="50">
        <f t="shared" si="21"/>
        <v>0.21036768609969014</v>
      </c>
      <c r="K29" s="12">
        <f t="shared" si="22"/>
        <v>0.23688200587679756</v>
      </c>
      <c r="L29" s="52">
        <f t="shared" si="15"/>
        <v>2.6514319777107415E-2</v>
      </c>
      <c r="M29" s="49">
        <f t="shared" si="23"/>
        <v>1.1049434900575675E-5</v>
      </c>
      <c r="N29" s="12">
        <f t="shared" si="24"/>
        <v>0.29102058987418733</v>
      </c>
      <c r="O29" s="12">
        <f t="shared" si="25"/>
        <v>0.29858082522196822</v>
      </c>
      <c r="P29" s="12">
        <f t="shared" si="10"/>
        <v>0.61453381213948322</v>
      </c>
      <c r="Q29" s="13">
        <v>18900</v>
      </c>
    </row>
    <row r="30" spans="1:17" x14ac:dyDescent="0.25">
      <c r="B30" s="13">
        <v>520.84</v>
      </c>
      <c r="C30" s="48">
        <f t="shared" si="19"/>
        <v>25.818331925351352</v>
      </c>
      <c r="D30" s="13">
        <v>4015.24</v>
      </c>
      <c r="E30" s="13">
        <v>13447.22</v>
      </c>
      <c r="F30" s="13">
        <v>30000</v>
      </c>
      <c r="G30" s="13">
        <f t="shared" si="7"/>
        <v>47462.46</v>
      </c>
      <c r="H30" s="9">
        <f t="shared" si="20"/>
        <v>26460</v>
      </c>
      <c r="I30" s="13">
        <f t="shared" si="8"/>
        <v>73922.459999999992</v>
      </c>
      <c r="J30" s="50">
        <f t="shared" si="21"/>
        <v>0.18190980116192021</v>
      </c>
      <c r="K30" s="12">
        <f t="shared" si="22"/>
        <v>0.21704135317261797</v>
      </c>
      <c r="L30" s="52">
        <f t="shared" si="15"/>
        <v>3.5131552010697759E-2</v>
      </c>
      <c r="M30" s="49">
        <f t="shared" si="23"/>
        <v>7.5415946287365251E-6</v>
      </c>
      <c r="N30" s="12">
        <f t="shared" si="24"/>
        <v>0.24042812815966411</v>
      </c>
      <c r="O30" s="12">
        <f t="shared" si="25"/>
        <v>0.24667405472417042</v>
      </c>
      <c r="P30" s="12">
        <f t="shared" si="10"/>
        <v>0.68154516470394366</v>
      </c>
      <c r="Q30" s="13">
        <v>18900</v>
      </c>
    </row>
    <row r="32" spans="1:17" x14ac:dyDescent="0.25">
      <c r="A32" s="19" t="s">
        <v>24</v>
      </c>
      <c r="B32" s="53" t="s">
        <v>35</v>
      </c>
      <c r="C32" s="56" t="s">
        <v>135</v>
      </c>
      <c r="D32" s="54" t="s">
        <v>21</v>
      </c>
      <c r="E32" s="53" t="s">
        <v>23</v>
      </c>
      <c r="F32" s="53" t="s">
        <v>22</v>
      </c>
      <c r="G32" s="53" t="s">
        <v>19</v>
      </c>
      <c r="H32" s="53" t="s">
        <v>148</v>
      </c>
      <c r="I32" s="53" t="s">
        <v>25</v>
      </c>
      <c r="J32" s="55" t="s">
        <v>141</v>
      </c>
      <c r="K32" s="56" t="s">
        <v>140</v>
      </c>
      <c r="L32" s="53" t="s">
        <v>142</v>
      </c>
      <c r="M32" s="56" t="s">
        <v>136</v>
      </c>
      <c r="N32" s="56" t="s">
        <v>137</v>
      </c>
      <c r="O32" s="56" t="s">
        <v>138</v>
      </c>
      <c r="P32" s="56" t="s">
        <v>139</v>
      </c>
      <c r="Q32" s="53" t="s">
        <v>149</v>
      </c>
    </row>
    <row r="33" spans="1:17" x14ac:dyDescent="0.25">
      <c r="A33" t="s">
        <v>143</v>
      </c>
      <c r="B33" s="13">
        <v>150.184</v>
      </c>
      <c r="C33" s="48">
        <f>E33/B33</f>
        <v>19.538499440686092</v>
      </c>
      <c r="D33" s="11">
        <v>3090.41</v>
      </c>
      <c r="E33" s="11">
        <v>2934.37</v>
      </c>
      <c r="F33" s="13">
        <v>4000</v>
      </c>
      <c r="G33" s="10">
        <f>SUM(D33:F33)</f>
        <v>10024.779999999999</v>
      </c>
      <c r="H33" s="9">
        <f>Q33*1.4</f>
        <v>4764.2</v>
      </c>
      <c r="I33" s="14">
        <f t="shared" ref="I33" si="26">SUM(G33,H33)</f>
        <v>14788.98</v>
      </c>
      <c r="J33" s="48">
        <f>E33/I33</f>
        <v>0.19841598271145136</v>
      </c>
      <c r="K33" s="57">
        <f>P33*(1-P33)</f>
        <v>0.21278033526128448</v>
      </c>
      <c r="L33" s="52">
        <f t="shared" ref="L33" si="27">ABS(J33-K33)</f>
        <v>1.436435254983312E-2</v>
      </c>
      <c r="M33" s="49">
        <f>1/G33 - 1/I33</f>
        <v>3.2134897028601248E-5</v>
      </c>
      <c r="N33" s="12">
        <f>SQRT(0.57*E33*M33)</f>
        <v>0.23183730576090528</v>
      </c>
      <c r="O33" s="12">
        <f>SQRT(0.6*E33*M33)</f>
        <v>0.23786005691643558</v>
      </c>
      <c r="P33" s="12">
        <f t="shared" ref="P33" si="28">1-(O33/SQRT(0.6))</f>
        <v>0.69292398694489887</v>
      </c>
      <c r="Q33" s="13">
        <v>3403</v>
      </c>
    </row>
    <row r="34" spans="1:17" x14ac:dyDescent="0.25">
      <c r="B34" s="13">
        <v>150.184</v>
      </c>
      <c r="C34" s="48">
        <f>E34/B34</f>
        <v>19.538499440686092</v>
      </c>
      <c r="D34" s="11">
        <v>3090.41</v>
      </c>
      <c r="E34" s="11">
        <v>2934.37</v>
      </c>
      <c r="F34" s="13">
        <v>8000</v>
      </c>
      <c r="G34" s="10">
        <f t="shared" ref="G34:G35" si="29">SUM(D34:F34)</f>
        <v>14024.779999999999</v>
      </c>
      <c r="H34" s="9">
        <f>Q34*1.4</f>
        <v>6234.2</v>
      </c>
      <c r="I34" s="14">
        <f t="shared" ref="I34:I35" si="30">SUM(G34,H34)</f>
        <v>20258.98</v>
      </c>
      <c r="J34" s="48">
        <f t="shared" ref="J34:J35" si="31">E34/I34</f>
        <v>0.14484292891349909</v>
      </c>
      <c r="K34" s="57">
        <f t="shared" ref="K34:K35" si="32">P34*(1-P34)</f>
        <v>0.18935660238769023</v>
      </c>
      <c r="L34" s="52">
        <f t="shared" ref="L34:L35" si="33">ABS(J34-K34)</f>
        <v>4.4513673474191134E-2</v>
      </c>
      <c r="M34" s="49">
        <f t="shared" ref="M34:M35" si="34">1/G34 - 1/I34</f>
        <v>2.1941539584689889E-5</v>
      </c>
      <c r="N34" s="12">
        <f t="shared" ref="N34:N35" si="35">SQRT(0.57*E34*M34)</f>
        <v>0.19157040335433362</v>
      </c>
      <c r="O34" s="12">
        <f t="shared" ref="O34:O35" si="36">SQRT(0.6*E34*M34)</f>
        <v>0.19654708674176752</v>
      </c>
      <c r="P34" s="12">
        <f t="shared" ref="P34:P35" si="37">1-(O34/SQRT(0.6))</f>
        <v>0.74625880210118334</v>
      </c>
      <c r="Q34" s="13">
        <v>4453</v>
      </c>
    </row>
    <row r="35" spans="1:17" x14ac:dyDescent="0.25">
      <c r="B35" s="13">
        <v>150.184</v>
      </c>
      <c r="C35" s="48">
        <f>E35/B35</f>
        <v>19.538499440686092</v>
      </c>
      <c r="D35" s="11">
        <v>3090.41</v>
      </c>
      <c r="E35" s="11">
        <v>2934.37</v>
      </c>
      <c r="F35" s="13">
        <v>12000</v>
      </c>
      <c r="G35" s="10">
        <f t="shared" si="29"/>
        <v>18024.78</v>
      </c>
      <c r="H35" s="9">
        <f>Q35*1.4</f>
        <v>7705.5999999999995</v>
      </c>
      <c r="I35" s="14">
        <f t="shared" si="30"/>
        <v>25730.379999999997</v>
      </c>
      <c r="J35" s="48">
        <f t="shared" si="31"/>
        <v>0.11404301063567659</v>
      </c>
      <c r="K35" s="57">
        <f t="shared" si="32"/>
        <v>0.17204835703100835</v>
      </c>
      <c r="L35" s="52">
        <f t="shared" si="33"/>
        <v>5.8005346395331753E-2</v>
      </c>
      <c r="M35" s="49">
        <f t="shared" si="34"/>
        <v>1.6614615228714999E-5</v>
      </c>
      <c r="N35" s="12">
        <f t="shared" si="35"/>
        <v>0.16670169236858431</v>
      </c>
      <c r="O35" s="12">
        <f t="shared" si="36"/>
        <v>0.17103232762612644</v>
      </c>
      <c r="P35" s="12">
        <f t="shared" si="37"/>
        <v>0.77919821448030724</v>
      </c>
      <c r="Q35" s="13">
        <v>5504</v>
      </c>
    </row>
    <row r="36" spans="1:17" x14ac:dyDescent="0.25">
      <c r="G36" s="35"/>
      <c r="I36" s="35"/>
      <c r="J36" s="58"/>
      <c r="K36" s="57"/>
    </row>
    <row r="37" spans="1:17" x14ac:dyDescent="0.25">
      <c r="A37" t="s">
        <v>144</v>
      </c>
      <c r="B37" s="15">
        <v>206.44</v>
      </c>
      <c r="C37" s="48">
        <f>E37/B37</f>
        <v>19.194099980623911</v>
      </c>
      <c r="D37" s="11">
        <v>3125.66</v>
      </c>
      <c r="E37" s="11">
        <v>3962.43</v>
      </c>
      <c r="F37" s="13">
        <v>4000</v>
      </c>
      <c r="G37" s="10">
        <f>SUM(D37:F37)</f>
        <v>11088.09</v>
      </c>
      <c r="H37" s="9">
        <f>Q37*1.4</f>
        <v>5533.78</v>
      </c>
      <c r="I37" s="14">
        <f t="shared" ref="I37" si="38">SUM(G37,H37)</f>
        <v>16621.87</v>
      </c>
      <c r="J37" s="48">
        <f>E37/I37</f>
        <v>0.23838653532965906</v>
      </c>
      <c r="K37" s="57">
        <f>P37*(1-P37)</f>
        <v>0.225951439277088</v>
      </c>
      <c r="L37" s="52">
        <f t="shared" ref="L37" si="39">ABS(J37-K37)</f>
        <v>1.2435096052571065E-2</v>
      </c>
      <c r="M37" s="49">
        <f>1/G37 - 1/I37</f>
        <v>3.0025155527090262E-5</v>
      </c>
      <c r="N37" s="12">
        <f>SQRT(0.57*E37*M37)</f>
        <v>0.26041192157554677</v>
      </c>
      <c r="O37" s="12">
        <f>SQRT(0.6*E37*M37)</f>
        <v>0.26717699416140783</v>
      </c>
      <c r="P37" s="12">
        <f t="shared" ref="P37" si="40">1-(O37/SQRT(0.6))</f>
        <v>0.65507598370770381</v>
      </c>
      <c r="Q37" s="13">
        <v>3952.7</v>
      </c>
    </row>
    <row r="38" spans="1:17" x14ac:dyDescent="0.25">
      <c r="B38" s="15">
        <v>206.44</v>
      </c>
      <c r="C38" s="48">
        <f>E38/B38</f>
        <v>19.194099980623911</v>
      </c>
      <c r="D38" s="11">
        <v>3125.66</v>
      </c>
      <c r="E38" s="11">
        <v>3962.43</v>
      </c>
      <c r="F38" s="13">
        <v>8000</v>
      </c>
      <c r="G38" s="10">
        <f t="shared" ref="G38:G39" si="41">SUM(D38:F38)</f>
        <v>15088.09</v>
      </c>
      <c r="H38" s="9">
        <f>Q38*1.4</f>
        <v>7004.48</v>
      </c>
      <c r="I38" s="14">
        <f t="shared" ref="I38:I39" si="42">SUM(G38,H38)</f>
        <v>22092.57</v>
      </c>
      <c r="J38" s="48">
        <f t="shared" ref="J38:J39" si="43">E38/I38</f>
        <v>0.17935577436214981</v>
      </c>
      <c r="K38" s="57">
        <f t="shared" ref="K38:K39" si="44">P38*(1-P38)</f>
        <v>0.205290982316753</v>
      </c>
      <c r="L38" s="52">
        <f t="shared" ref="L38:L39" si="45">ABS(J38-K38)</f>
        <v>2.593520795460319E-2</v>
      </c>
      <c r="M38" s="49">
        <f t="shared" ref="M38:M39" si="46">1/G38 - 1/I38</f>
        <v>2.1013354822914672E-5</v>
      </c>
      <c r="N38" s="12">
        <f t="shared" ref="N38:N39" si="47">SQRT(0.57*E38*M38)</f>
        <v>0.21785419459824087</v>
      </c>
      <c r="O38" s="12">
        <f t="shared" ref="O38:O39" si="48">SQRT(0.6*E38*M38)</f>
        <v>0.22351368756874168</v>
      </c>
      <c r="P38" s="12">
        <f t="shared" ref="P38:P39" si="49">1-(O38/SQRT(0.6))</f>
        <v>0.7114450701322852</v>
      </c>
      <c r="Q38" s="13">
        <v>5003.2</v>
      </c>
    </row>
    <row r="39" spans="1:17" x14ac:dyDescent="0.25">
      <c r="B39" s="15">
        <v>206.44</v>
      </c>
      <c r="C39" s="48">
        <f>E39/B39</f>
        <v>19.194099980623911</v>
      </c>
      <c r="D39" s="11">
        <v>3125.66</v>
      </c>
      <c r="E39" s="11">
        <v>3962.43</v>
      </c>
      <c r="F39" s="13">
        <v>12000</v>
      </c>
      <c r="G39" s="10">
        <f t="shared" si="41"/>
        <v>19088.09</v>
      </c>
      <c r="H39" s="9">
        <f>Q39*1.4</f>
        <v>8475.1799999999985</v>
      </c>
      <c r="I39" s="14">
        <f t="shared" si="42"/>
        <v>27563.269999999997</v>
      </c>
      <c r="J39" s="48">
        <f t="shared" si="43"/>
        <v>0.14375761656726507</v>
      </c>
      <c r="K39" s="57">
        <f t="shared" si="44"/>
        <v>0.188814914732509</v>
      </c>
      <c r="L39" s="52">
        <f t="shared" si="45"/>
        <v>4.5057298165243925E-2</v>
      </c>
      <c r="M39" s="49">
        <f t="shared" si="46"/>
        <v>1.6108522846758078E-5</v>
      </c>
      <c r="N39" s="12">
        <f t="shared" si="47"/>
        <v>0.19074189284134038</v>
      </c>
      <c r="O39" s="12">
        <f t="shared" si="48"/>
        <v>0.19569705289096145</v>
      </c>
      <c r="P39" s="12">
        <f t="shared" si="49"/>
        <v>0.74735619108381135</v>
      </c>
      <c r="Q39" s="13">
        <v>6053.7</v>
      </c>
    </row>
    <row r="40" spans="1:17" x14ac:dyDescent="0.25">
      <c r="G40" s="35"/>
      <c r="I40" s="35"/>
      <c r="J40" s="58"/>
      <c r="K40" s="57"/>
    </row>
    <row r="41" spans="1:17" x14ac:dyDescent="0.25">
      <c r="A41" t="s">
        <v>145</v>
      </c>
      <c r="B41" s="13">
        <v>262.952</v>
      </c>
      <c r="C41" s="48">
        <f>E41/B41</f>
        <v>21.580858863975173</v>
      </c>
      <c r="D41" s="11">
        <v>3179.71</v>
      </c>
      <c r="E41" s="11">
        <v>5674.73</v>
      </c>
      <c r="F41" s="13">
        <v>4000</v>
      </c>
      <c r="G41" s="10">
        <f>SUM(D41:F41)</f>
        <v>12854.439999999999</v>
      </c>
      <c r="H41" s="9">
        <f>Q41*1.4</f>
        <v>6812.6799999999994</v>
      </c>
      <c r="I41" s="14">
        <f t="shared" ref="I41" si="50">SUM(G41,H41)</f>
        <v>19667.12</v>
      </c>
      <c r="J41" s="48">
        <f>E41/I41</f>
        <v>0.28853894215319781</v>
      </c>
      <c r="K41" s="57">
        <f>P41*(1-P41)</f>
        <v>0.23813035694368206</v>
      </c>
      <c r="L41" s="52">
        <f t="shared" ref="L41" si="51">ABS(J41-K41)</f>
        <v>5.0408585209515744E-2</v>
      </c>
      <c r="M41" s="49">
        <f>1/G41 - 1/I41</f>
        <v>2.6947846255901561E-5</v>
      </c>
      <c r="N41" s="12">
        <f>SQRT(0.57*E41*M41)</f>
        <v>0.29523786749456576</v>
      </c>
      <c r="O41" s="12">
        <f>SQRT(0.6*E41*M41)</f>
        <v>0.3029076607652097</v>
      </c>
      <c r="P41" s="12">
        <f t="shared" ref="P41" si="52">1-(O41/SQRT(0.6))</f>
        <v>0.60894789147256567</v>
      </c>
      <c r="Q41" s="13">
        <v>4866.2</v>
      </c>
    </row>
    <row r="42" spans="1:17" x14ac:dyDescent="0.25">
      <c r="B42" s="13">
        <v>262.952</v>
      </c>
      <c r="C42" s="48">
        <f>E42/B42</f>
        <v>21.580858863975173</v>
      </c>
      <c r="D42" s="11">
        <v>3179.71</v>
      </c>
      <c r="E42" s="11">
        <v>5674.73</v>
      </c>
      <c r="F42" s="13">
        <v>8000</v>
      </c>
      <c r="G42" s="66">
        <f t="shared" ref="G42:G43" si="53">SUM(D42:F42)</f>
        <v>16854.439999999999</v>
      </c>
      <c r="H42" s="13">
        <f>Q42*1.4</f>
        <v>8283.3799999999992</v>
      </c>
      <c r="I42" s="66">
        <f t="shared" ref="I42:I43" si="54">SUM(G42,H42)</f>
        <v>25137.82</v>
      </c>
      <c r="J42" s="48">
        <f t="shared" ref="J42:J43" si="55">E42/I42</f>
        <v>0.22574471453769657</v>
      </c>
      <c r="K42" s="57">
        <f t="shared" ref="K42:K43" si="56">P42*(1-P42)</f>
        <v>0.22213947211177065</v>
      </c>
      <c r="L42" s="52">
        <f t="shared" ref="L42:L43" si="57">ABS(J42-K42)</f>
        <v>3.6052424259259142E-3</v>
      </c>
      <c r="M42" s="49">
        <f t="shared" ref="M42:M43" si="58">1/G42 - 1/I42</f>
        <v>1.9550850084499979E-5</v>
      </c>
      <c r="N42" s="12">
        <f t="shared" ref="N42:N43" si="59">SQRT(0.57*E42*M42)</f>
        <v>0.25147386232968283</v>
      </c>
      <c r="O42" s="12">
        <f t="shared" ref="O42:O43" si="60">SQRT(0.6*E42*M42)</f>
        <v>0.25800673886549697</v>
      </c>
      <c r="P42" s="12">
        <f t="shared" ref="P42:P43" si="61">1-(O42/SQRT(0.6))</f>
        <v>0.66691473238821475</v>
      </c>
      <c r="Q42" s="13">
        <v>5916.7</v>
      </c>
    </row>
    <row r="43" spans="1:17" x14ac:dyDescent="0.25">
      <c r="B43" s="13">
        <v>262.952</v>
      </c>
      <c r="C43" s="48">
        <f>E43/B43</f>
        <v>21.580858863975173</v>
      </c>
      <c r="D43" s="11">
        <v>3179.71</v>
      </c>
      <c r="E43" s="11">
        <v>5674.73</v>
      </c>
      <c r="F43" s="13">
        <v>12000</v>
      </c>
      <c r="G43" s="66">
        <f t="shared" si="53"/>
        <v>20854.439999999999</v>
      </c>
      <c r="H43" s="13">
        <f>Q43*1.4</f>
        <v>9754.2199999999993</v>
      </c>
      <c r="I43" s="66">
        <f t="shared" si="54"/>
        <v>30608.659999999996</v>
      </c>
      <c r="J43" s="48">
        <f t="shared" si="55"/>
        <v>0.18539622446719328</v>
      </c>
      <c r="K43" s="57">
        <f t="shared" si="56"/>
        <v>0.20775920109578777</v>
      </c>
      <c r="L43" s="52">
        <f t="shared" si="57"/>
        <v>2.2362976628594489E-2</v>
      </c>
      <c r="M43" s="49">
        <f t="shared" si="58"/>
        <v>1.5280926858765474E-5</v>
      </c>
      <c r="N43" s="12">
        <f t="shared" si="59"/>
        <v>0.22232324759626027</v>
      </c>
      <c r="O43" s="12">
        <f t="shared" si="60"/>
        <v>0.22809883919903082</v>
      </c>
      <c r="P43" s="12">
        <f t="shared" si="61"/>
        <v>0.70552566483097001</v>
      </c>
      <c r="Q43" s="13">
        <v>6967.3</v>
      </c>
    </row>
    <row r="44" spans="1:17" x14ac:dyDescent="0.25">
      <c r="G44" s="35"/>
      <c r="I44" s="35"/>
      <c r="J44" s="58"/>
      <c r="K44" s="57"/>
    </row>
    <row r="45" spans="1:17" x14ac:dyDescent="0.25">
      <c r="A45" t="s">
        <v>146</v>
      </c>
      <c r="B45" s="13">
        <v>407.88</v>
      </c>
      <c r="C45" s="48">
        <f>E45/B45</f>
        <v>27.086079238991864</v>
      </c>
      <c r="D45" s="11">
        <v>5207.8900000000003</v>
      </c>
      <c r="E45" s="11">
        <v>11047.87</v>
      </c>
      <c r="F45">
        <v>16000</v>
      </c>
      <c r="G45" s="66">
        <f>SUM(D45:F45)</f>
        <v>32255.760000000002</v>
      </c>
      <c r="H45" s="13">
        <f>Q45*1.4</f>
        <v>15921.78</v>
      </c>
      <c r="I45" s="66">
        <f t="shared" ref="I45" si="62">SUM(G45,H45)</f>
        <v>48177.54</v>
      </c>
      <c r="J45" s="48">
        <f>E45/I45</f>
        <v>0.22931577660461702</v>
      </c>
      <c r="K45" s="57">
        <f>P45*(1-P45)</f>
        <v>0.22324850977428129</v>
      </c>
      <c r="L45" s="52">
        <f t="shared" ref="L45" si="63">ABS(J45-K45)</f>
        <v>6.0672668303357324E-3</v>
      </c>
      <c r="M45" s="49">
        <f>1/G45 - 1/I45</f>
        <v>1.0245654791217772E-5</v>
      </c>
      <c r="N45" s="12">
        <f>SQRT(0.57*E45*M45)</f>
        <v>0.25400751456010728</v>
      </c>
      <c r="O45" s="12">
        <f>SQRT(0.6*E45*M45)</f>
        <v>0.26060621120562472</v>
      </c>
      <c r="P45" s="12">
        <f t="shared" ref="P45" si="64">1-(O45/SQRT(0.6))</f>
        <v>0.66355882802746757</v>
      </c>
      <c r="Q45" s="13">
        <v>11372.7</v>
      </c>
    </row>
    <row r="46" spans="1:17" x14ac:dyDescent="0.25">
      <c r="B46" s="13">
        <v>407.88</v>
      </c>
      <c r="C46" s="48">
        <f>E46/B46</f>
        <v>27.086079238991864</v>
      </c>
      <c r="D46" s="11">
        <v>5207.8900000000003</v>
      </c>
      <c r="E46" s="11">
        <v>11047.87</v>
      </c>
      <c r="F46">
        <v>24000</v>
      </c>
      <c r="G46" s="66">
        <f t="shared" ref="G46:G47" si="65">SUM(D46:F46)</f>
        <v>40255.760000000002</v>
      </c>
      <c r="H46" s="13">
        <f>Q46*1.4</f>
        <v>18863.18</v>
      </c>
      <c r="I46" s="66">
        <f t="shared" ref="I46:I47" si="66">SUM(G46,H46)</f>
        <v>59118.94</v>
      </c>
      <c r="J46" s="48">
        <f t="shared" ref="J46:J47" si="67">E46/I46</f>
        <v>0.18687530595102012</v>
      </c>
      <c r="K46" s="57">
        <f t="shared" ref="K46:K47" si="68">P46*(1-P46)</f>
        <v>0.20834998512035158</v>
      </c>
      <c r="L46" s="52">
        <f t="shared" ref="L46:L47" si="69">ABS(J46-K46)</f>
        <v>2.1474679169331462E-2</v>
      </c>
      <c r="M46" s="49">
        <f t="shared" ref="M46:M47" si="70">1/G46 - 1/I46</f>
        <v>7.926112644811012E-6</v>
      </c>
      <c r="N46" s="12">
        <f t="shared" ref="N46:N47" si="71">SQRT(0.57*E46*M46)</f>
        <v>0.22341216931935487</v>
      </c>
      <c r="O46" s="12">
        <f t="shared" ref="O46:O47" si="72">SQRT(0.6*E46*M46)</f>
        <v>0.22921604931404116</v>
      </c>
      <c r="P46" s="12">
        <f t="shared" ref="P46:P47" si="73">1-(O46/SQRT(0.6))</f>
        <v>0.70408335277442013</v>
      </c>
      <c r="Q46" s="13">
        <v>13473.7</v>
      </c>
    </row>
    <row r="47" spans="1:17" x14ac:dyDescent="0.25">
      <c r="B47" s="13">
        <v>407.88</v>
      </c>
      <c r="C47" s="48">
        <f>E47/B47</f>
        <v>27.086079238991864</v>
      </c>
      <c r="D47" s="11">
        <v>5207.8900000000003</v>
      </c>
      <c r="E47" s="11">
        <v>11047.87</v>
      </c>
      <c r="F47">
        <v>36000</v>
      </c>
      <c r="G47" s="10">
        <f t="shared" si="65"/>
        <v>52255.76</v>
      </c>
      <c r="H47" s="9">
        <f>Q47*1.4</f>
        <v>23275.279999999999</v>
      </c>
      <c r="I47" s="14">
        <f t="shared" si="66"/>
        <v>75531.040000000008</v>
      </c>
      <c r="J47" s="48">
        <f t="shared" si="67"/>
        <v>0.1462692688992499</v>
      </c>
      <c r="K47" s="57">
        <f t="shared" si="68"/>
        <v>0.1900948964103574</v>
      </c>
      <c r="L47" s="52">
        <f t="shared" si="69"/>
        <v>4.3825627511107496E-2</v>
      </c>
      <c r="M47" s="49">
        <f t="shared" si="70"/>
        <v>5.897056396420997E-6</v>
      </c>
      <c r="N47" s="12">
        <f t="shared" si="71"/>
        <v>0.19270560473605006</v>
      </c>
      <c r="O47" s="12">
        <f t="shared" si="72"/>
        <v>0.1977117787846657</v>
      </c>
      <c r="P47" s="12">
        <f t="shared" si="73"/>
        <v>0.74475519113931499</v>
      </c>
      <c r="Q47" s="13">
        <v>16625.2</v>
      </c>
    </row>
    <row r="48" spans="1:17" x14ac:dyDescent="0.25">
      <c r="G48" s="35"/>
      <c r="I48" s="35"/>
      <c r="J48" s="58"/>
      <c r="K48" s="57"/>
    </row>
    <row r="49" spans="1:17" x14ac:dyDescent="0.25">
      <c r="A49" t="s">
        <v>147</v>
      </c>
      <c r="B49" s="8">
        <v>520.904</v>
      </c>
      <c r="C49" s="48">
        <f>E49/B49</f>
        <v>30.179322869473072</v>
      </c>
      <c r="D49">
        <v>5297.19</v>
      </c>
      <c r="E49">
        <v>15720.53</v>
      </c>
      <c r="F49">
        <v>16000</v>
      </c>
      <c r="G49" s="10">
        <f>SUM(D49:F49)</f>
        <v>37017.72</v>
      </c>
      <c r="H49" s="9">
        <f>Q49*1.4</f>
        <v>19390.559999999998</v>
      </c>
      <c r="I49" s="14">
        <f t="shared" ref="I49" si="74">SUM(G49,H49)</f>
        <v>56408.28</v>
      </c>
      <c r="J49" s="48">
        <f>E49/I49</f>
        <v>0.27869188707757092</v>
      </c>
      <c r="K49" s="57">
        <f>P49*(1-P49)</f>
        <v>0.23609450029286316</v>
      </c>
      <c r="L49" s="52">
        <f t="shared" ref="L49" si="75">ABS(J49-K49)</f>
        <v>4.2597386784707758E-2</v>
      </c>
      <c r="M49" s="49">
        <f>1/G49 - 1/I49</f>
        <v>9.2861956202950909E-6</v>
      </c>
      <c r="N49" s="12">
        <f>SQRT(0.57*E49*M49)</f>
        <v>0.28846287906035506</v>
      </c>
      <c r="O49" s="12">
        <f>SQRT(0.6*E49*M49)</f>
        <v>0.29595666929608216</v>
      </c>
      <c r="P49" s="12">
        <f t="shared" ref="P49" si="76">1-(O49/SQRT(0.6))</f>
        <v>0.61792158287241927</v>
      </c>
      <c r="Q49" s="8">
        <v>13850.4</v>
      </c>
    </row>
    <row r="50" spans="1:17" x14ac:dyDescent="0.25">
      <c r="B50" s="8">
        <v>520.904</v>
      </c>
      <c r="C50" s="48">
        <f>E50/B50</f>
        <v>30.179322869473072</v>
      </c>
      <c r="D50">
        <v>5297.19</v>
      </c>
      <c r="E50">
        <v>15720.53</v>
      </c>
      <c r="F50">
        <v>24000</v>
      </c>
      <c r="G50" s="66">
        <f t="shared" ref="G50:G51" si="77">SUM(D50:F50)</f>
        <v>45017.72</v>
      </c>
      <c r="H50" s="13">
        <f>Q50*1.4</f>
        <v>22332.1</v>
      </c>
      <c r="I50" s="66">
        <f t="shared" ref="I50:I51" si="78">SUM(G50,H50)</f>
        <v>67349.820000000007</v>
      </c>
      <c r="J50" s="48">
        <f t="shared" ref="J50:J51" si="79">E50/I50</f>
        <v>0.23341606555147437</v>
      </c>
      <c r="K50" s="57">
        <f t="shared" ref="K50:K51" si="80">P50*(1-P50)</f>
        <v>0.22449001771347593</v>
      </c>
      <c r="L50" s="52">
        <f t="shared" ref="L50:L51" si="81">ABS(J50-K50)</f>
        <v>8.9260478379984409E-3</v>
      </c>
      <c r="M50" s="49">
        <f t="shared" ref="M50:M51" si="82">1/G50 - 1/I50</f>
        <v>7.3656254188989899E-6</v>
      </c>
      <c r="N50" s="12">
        <f t="shared" ref="N50:N51" si="83">SQRT(0.57*E50*M50)</f>
        <v>0.25690693871310982</v>
      </c>
      <c r="O50" s="12">
        <f t="shared" ref="O50:O51" si="84">SQRT(0.6*E50*M50)</f>
        <v>0.26358095762011807</v>
      </c>
      <c r="P50" s="12">
        <f t="shared" ref="P50:P51" si="85">1-(O50/SQRT(0.6))</f>
        <v>0.65971844691995996</v>
      </c>
      <c r="Q50" s="8">
        <v>15951.5</v>
      </c>
    </row>
    <row r="51" spans="1:17" x14ac:dyDescent="0.25">
      <c r="B51" s="8">
        <v>520.904</v>
      </c>
      <c r="C51" s="48">
        <f>E51/B51</f>
        <v>30.179322869473072</v>
      </c>
      <c r="D51">
        <v>5297.19</v>
      </c>
      <c r="E51">
        <v>15720.53</v>
      </c>
      <c r="F51">
        <v>36000</v>
      </c>
      <c r="G51" s="66">
        <f t="shared" si="77"/>
        <v>57017.72</v>
      </c>
      <c r="H51" s="13">
        <f>Q51*1.4</f>
        <v>26744.199999999997</v>
      </c>
      <c r="I51" s="66">
        <f t="shared" si="78"/>
        <v>83761.919999999998</v>
      </c>
      <c r="J51" s="48">
        <f t="shared" si="79"/>
        <v>0.18768110855147543</v>
      </c>
      <c r="K51" s="57">
        <f t="shared" si="80"/>
        <v>0.20866983663725483</v>
      </c>
      <c r="L51" s="52">
        <f t="shared" si="81"/>
        <v>2.0988728085779396E-2</v>
      </c>
      <c r="M51" s="49">
        <f t="shared" si="82"/>
        <v>5.5998080520497667E-6</v>
      </c>
      <c r="N51" s="12">
        <f t="shared" si="83"/>
        <v>0.22400493693577214</v>
      </c>
      <c r="O51" s="12">
        <f t="shared" si="84"/>
        <v>0.22982421605630235</v>
      </c>
      <c r="P51" s="12">
        <f t="shared" si="85"/>
        <v>0.70329821288625527</v>
      </c>
      <c r="Q51" s="8">
        <v>19103</v>
      </c>
    </row>
  </sheetData>
  <conditionalFormatting sqref="L2:L10 L12:L20 L22:L30">
    <cfRule type="cellIs" dxfId="17" priority="16" operator="lessThan">
      <formula>0.025</formula>
    </cfRule>
  </conditionalFormatting>
  <conditionalFormatting sqref="L2:L10">
    <cfRule type="cellIs" dxfId="16" priority="15" operator="lessThan">
      <formula>0.03</formula>
    </cfRule>
  </conditionalFormatting>
  <conditionalFormatting sqref="L12:L20">
    <cfRule type="cellIs" dxfId="15" priority="14" operator="lessThan">
      <formula>0.03</formula>
    </cfRule>
  </conditionalFormatting>
  <conditionalFormatting sqref="L22:L30">
    <cfRule type="cellIs" dxfId="14" priority="13" operator="lessThan">
      <formula>0.03</formula>
    </cfRule>
  </conditionalFormatting>
  <conditionalFormatting sqref="L45:L47">
    <cfRule type="cellIs" dxfId="13" priority="2" operator="lessThan">
      <formula>0.025</formula>
    </cfRule>
  </conditionalFormatting>
  <conditionalFormatting sqref="L45:L47">
    <cfRule type="cellIs" dxfId="12" priority="1" operator="lessThan">
      <formula>0.03</formula>
    </cfRule>
  </conditionalFormatting>
  <conditionalFormatting sqref="L33:L35">
    <cfRule type="cellIs" dxfId="11" priority="10" operator="lessThan">
      <formula>0.025</formula>
    </cfRule>
  </conditionalFormatting>
  <conditionalFormatting sqref="L33:L35">
    <cfRule type="cellIs" dxfId="10" priority="9" operator="lessThan">
      <formula>0.03</formula>
    </cfRule>
  </conditionalFormatting>
  <conditionalFormatting sqref="L37:L39">
    <cfRule type="cellIs" dxfId="9" priority="8" operator="lessThan">
      <formula>0.025</formula>
    </cfRule>
  </conditionalFormatting>
  <conditionalFormatting sqref="L37:L39">
    <cfRule type="cellIs" dxfId="8" priority="7" operator="lessThan">
      <formula>0.03</formula>
    </cfRule>
  </conditionalFormatting>
  <conditionalFormatting sqref="L41:L43">
    <cfRule type="cellIs" dxfId="7" priority="6" operator="lessThan">
      <formula>0.025</formula>
    </cfRule>
  </conditionalFormatting>
  <conditionalFormatting sqref="L41:L43">
    <cfRule type="cellIs" dxfId="6" priority="5" operator="lessThan">
      <formula>0.03</formula>
    </cfRule>
  </conditionalFormatting>
  <conditionalFormatting sqref="L49:L51">
    <cfRule type="cellIs" dxfId="5" priority="4" operator="lessThan">
      <formula>0.025</formula>
    </cfRule>
  </conditionalFormatting>
  <conditionalFormatting sqref="L49:L51">
    <cfRule type="cellIs" dxfId="4" priority="3" operator="lessThan">
      <formula>0.03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57ECE-7863-4100-B7C4-0F7A187BDD0F}">
  <dimension ref="A1"/>
  <sheetViews>
    <sheetView workbookViewId="0"/>
  </sheetViews>
  <sheetFormatPr defaultRowHeight="15" x14ac:dyDescent="0.25"/>
  <sheetData>
    <row r="1" spans="1:1" x14ac:dyDescent="0.25">
      <c r="A1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8747E-6FC6-4E72-B07B-FBEDFA675870}">
  <dimension ref="A1:Y47"/>
  <sheetViews>
    <sheetView zoomScale="70" zoomScaleNormal="70" workbookViewId="0">
      <pane ySplit="825" activePane="bottomLeft"/>
      <selection activeCell="W1" sqref="W1:W1048576"/>
      <selection pane="bottomLeft" activeCell="J3" sqref="J3:J6"/>
    </sheetView>
  </sheetViews>
  <sheetFormatPr defaultRowHeight="15" x14ac:dyDescent="0.25"/>
  <cols>
    <col min="1" max="2" width="10.42578125" customWidth="1"/>
    <col min="5" max="5" width="13.85546875" customWidth="1"/>
    <col min="6" max="6" width="13.5703125" customWidth="1"/>
    <col min="7" max="7" width="25" customWidth="1"/>
    <col min="8" max="8" width="10.42578125" bestFit="1" customWidth="1"/>
    <col min="10" max="10" width="9.7109375" bestFit="1" customWidth="1"/>
    <col min="11" max="11" width="9.7109375" customWidth="1"/>
    <col min="12" max="13" width="11.140625" customWidth="1"/>
    <col min="14" max="14" width="12.5703125" customWidth="1"/>
    <col min="15" max="15" width="62.85546875" customWidth="1"/>
    <col min="16" max="16" width="26.7109375" style="16" customWidth="1"/>
    <col min="17" max="17" width="13.42578125" bestFit="1" customWidth="1"/>
    <col min="18" max="18" width="12.7109375" bestFit="1" customWidth="1"/>
    <col min="19" max="19" width="13.7109375" customWidth="1"/>
    <col min="20" max="20" width="12.85546875" customWidth="1"/>
    <col min="21" max="21" width="13.140625" customWidth="1"/>
    <col min="22" max="22" width="11.42578125" customWidth="1"/>
  </cols>
  <sheetData>
    <row r="1" spans="1:25" ht="45" x14ac:dyDescent="0.25">
      <c r="A1" s="1" t="s">
        <v>47</v>
      </c>
      <c r="B1" s="21" t="s">
        <v>37</v>
      </c>
      <c r="C1" s="21" t="s">
        <v>21</v>
      </c>
      <c r="D1" s="21" t="s">
        <v>22</v>
      </c>
      <c r="E1" s="21" t="s">
        <v>19</v>
      </c>
      <c r="F1" s="21" t="s">
        <v>36</v>
      </c>
      <c r="G1" s="5" t="s">
        <v>0</v>
      </c>
      <c r="H1" s="5" t="s">
        <v>1</v>
      </c>
      <c r="I1" s="5" t="s">
        <v>17</v>
      </c>
      <c r="J1" s="5" t="s">
        <v>14</v>
      </c>
      <c r="K1" s="5" t="s">
        <v>53</v>
      </c>
      <c r="L1" s="5" t="s">
        <v>15</v>
      </c>
      <c r="M1" s="5" t="s">
        <v>16</v>
      </c>
      <c r="N1" s="5" t="s">
        <v>18</v>
      </c>
      <c r="O1" s="5" t="s">
        <v>45</v>
      </c>
      <c r="P1" s="3" t="s">
        <v>20</v>
      </c>
      <c r="Q1" s="1" t="s">
        <v>54</v>
      </c>
      <c r="R1" s="1" t="s">
        <v>52</v>
      </c>
      <c r="S1" s="1" t="s">
        <v>46</v>
      </c>
      <c r="T1" s="1" t="s">
        <v>36</v>
      </c>
      <c r="U1" s="1" t="s">
        <v>55</v>
      </c>
      <c r="V1" s="1" t="s">
        <v>66</v>
      </c>
      <c r="W1" s="1" t="s">
        <v>65</v>
      </c>
      <c r="X1" s="1" t="s">
        <v>64</v>
      </c>
      <c r="Y1" s="1" t="s">
        <v>67</v>
      </c>
    </row>
    <row r="2" spans="1:25" x14ac:dyDescent="0.25">
      <c r="C2" s="13"/>
      <c r="D2" s="13"/>
      <c r="E2" s="13"/>
      <c r="F2" s="13"/>
      <c r="G2" s="5"/>
      <c r="H2" s="5"/>
      <c r="I2" s="5"/>
      <c r="J2" s="22"/>
      <c r="K2" s="22"/>
      <c r="L2" s="22" t="s">
        <v>51</v>
      </c>
      <c r="M2" s="22"/>
      <c r="N2" s="22"/>
      <c r="O2" s="6" t="s">
        <v>51</v>
      </c>
      <c r="P2" s="3"/>
      <c r="R2" s="27"/>
      <c r="S2" s="27"/>
      <c r="T2" s="27"/>
      <c r="U2" s="27"/>
      <c r="W2">
        <v>1.02</v>
      </c>
    </row>
    <row r="3" spans="1:25" x14ac:dyDescent="0.25">
      <c r="B3" s="13">
        <f>J3</f>
        <v>3635.3666209317707</v>
      </c>
      <c r="C3" s="13">
        <v>2706</v>
      </c>
      <c r="D3" s="13">
        <v>0</v>
      </c>
      <c r="E3" s="13">
        <v>8232.3700000000008</v>
      </c>
      <c r="F3" s="13">
        <v>3613.5</v>
      </c>
      <c r="G3" s="1" t="s">
        <v>13</v>
      </c>
      <c r="H3" s="1">
        <v>51.2</v>
      </c>
      <c r="I3" s="4">
        <v>-0.64</v>
      </c>
      <c r="J3" s="17">
        <v>3635.3666209317707</v>
      </c>
      <c r="K3" s="35">
        <v>491</v>
      </c>
      <c r="L3" s="8">
        <v>72.109166937258095</v>
      </c>
      <c r="M3" s="8">
        <v>8.1615759936938301E-2</v>
      </c>
      <c r="N3" s="8">
        <v>9.89312282714125E-2</v>
      </c>
      <c r="O3" s="6" t="s">
        <v>112</v>
      </c>
      <c r="P3" s="3"/>
      <c r="Q3" s="17"/>
      <c r="R3" s="28"/>
      <c r="S3" s="28"/>
      <c r="T3" s="28"/>
      <c r="U3" s="28"/>
    </row>
    <row r="4" spans="1:25" x14ac:dyDescent="0.25">
      <c r="B4" s="13">
        <f t="shared" ref="B4:B6" si="0">J4</f>
        <v>3623.9820588548901</v>
      </c>
      <c r="C4" s="13">
        <v>2706</v>
      </c>
      <c r="D4" s="13">
        <v>0</v>
      </c>
      <c r="E4" s="13">
        <v>8232.3700000000008</v>
      </c>
      <c r="F4" s="13">
        <v>3613.5</v>
      </c>
      <c r="G4" s="1" t="s">
        <v>2</v>
      </c>
      <c r="H4" s="1">
        <v>51.2</v>
      </c>
      <c r="I4" s="4">
        <v>-0.64</v>
      </c>
      <c r="J4" s="17">
        <v>3623.9820588548901</v>
      </c>
      <c r="K4" s="25">
        <v>479</v>
      </c>
      <c r="L4" s="8">
        <v>71.274233200427204</v>
      </c>
      <c r="M4" s="8">
        <v>3.4424301841286101E-2</v>
      </c>
      <c r="N4" s="8">
        <v>8.4298074570891196E-2</v>
      </c>
      <c r="O4" s="7" t="s">
        <v>110</v>
      </c>
      <c r="P4" s="3"/>
      <c r="Q4" s="17"/>
      <c r="R4" s="28"/>
      <c r="S4" s="28"/>
      <c r="T4" s="28"/>
      <c r="U4" s="28"/>
    </row>
    <row r="5" spans="1:25" x14ac:dyDescent="0.25">
      <c r="B5" s="13">
        <f t="shared" si="0"/>
        <v>3605.8582209040378</v>
      </c>
      <c r="C5" s="13">
        <v>2706</v>
      </c>
      <c r="D5" s="13">
        <v>0</v>
      </c>
      <c r="E5" s="13">
        <v>8232.3700000000008</v>
      </c>
      <c r="F5" s="13">
        <v>3613.5</v>
      </c>
      <c r="G5" s="1" t="s">
        <v>3</v>
      </c>
      <c r="H5" s="1">
        <v>51.2</v>
      </c>
      <c r="I5" s="4">
        <v>-0.64</v>
      </c>
      <c r="J5" s="17">
        <v>3605.8582209040378</v>
      </c>
      <c r="K5" s="25">
        <v>454</v>
      </c>
      <c r="L5" s="8">
        <v>71.307111317313598</v>
      </c>
      <c r="M5" s="8">
        <v>3.9733472287336501E-2</v>
      </c>
      <c r="N5" s="8">
        <v>9.78445213437837E-2</v>
      </c>
      <c r="O5" s="7" t="s">
        <v>110</v>
      </c>
      <c r="Q5" s="17"/>
      <c r="R5" s="28"/>
      <c r="S5" s="28"/>
      <c r="T5" s="28"/>
      <c r="U5" s="28"/>
    </row>
    <row r="6" spans="1:25" x14ac:dyDescent="0.25">
      <c r="B6" s="13">
        <f t="shared" si="0"/>
        <v>3600.2336847855731</v>
      </c>
      <c r="C6" s="13">
        <v>2706</v>
      </c>
      <c r="D6" s="13">
        <v>0</v>
      </c>
      <c r="E6" s="13">
        <v>8232.3700000000008</v>
      </c>
      <c r="F6" s="13">
        <v>3613.5</v>
      </c>
      <c r="G6" s="1" t="s">
        <v>4</v>
      </c>
      <c r="H6" s="1">
        <v>51.2</v>
      </c>
      <c r="I6" s="4">
        <v>-0.64</v>
      </c>
      <c r="J6" s="17">
        <v>3600.2336847855731</v>
      </c>
      <c r="K6" s="25">
        <v>498</v>
      </c>
      <c r="L6" s="8">
        <v>70.771552530561095</v>
      </c>
      <c r="M6" s="8">
        <v>0.21447531577868301</v>
      </c>
      <c r="N6" s="8">
        <v>0.112343146285093</v>
      </c>
      <c r="O6" s="7" t="s">
        <v>111</v>
      </c>
      <c r="Q6" s="17"/>
      <c r="R6" s="28"/>
      <c r="S6" s="28"/>
      <c r="T6" s="28"/>
      <c r="U6" s="28"/>
    </row>
    <row r="7" spans="1:25" x14ac:dyDescent="0.25">
      <c r="B7" s="13"/>
      <c r="C7" s="13"/>
      <c r="D7" s="13"/>
      <c r="E7" s="13"/>
      <c r="F7" s="13"/>
      <c r="G7" s="1"/>
      <c r="H7" s="1"/>
      <c r="I7" s="4"/>
      <c r="J7" s="17"/>
      <c r="K7" s="17"/>
      <c r="L7" s="8"/>
      <c r="M7" s="8"/>
      <c r="N7" s="8"/>
      <c r="O7" s="7"/>
      <c r="Q7" s="17"/>
      <c r="R7" s="27"/>
      <c r="S7" s="27"/>
      <c r="T7" s="27"/>
      <c r="U7" s="27"/>
    </row>
    <row r="8" spans="1:25" x14ac:dyDescent="0.25">
      <c r="B8" s="13">
        <f>J8</f>
        <v>2748.472493686073</v>
      </c>
      <c r="C8" s="13">
        <v>2706</v>
      </c>
      <c r="D8" s="13">
        <v>0</v>
      </c>
      <c r="E8" s="13">
        <v>8232.3700000000008</v>
      </c>
      <c r="F8" s="13">
        <v>3613.5</v>
      </c>
      <c r="G8" s="5" t="s">
        <v>13</v>
      </c>
      <c r="H8" s="1">
        <v>28.5</v>
      </c>
      <c r="I8" s="1">
        <v>-0.36</v>
      </c>
      <c r="J8">
        <v>2748.472493686073</v>
      </c>
      <c r="K8">
        <v>398</v>
      </c>
      <c r="L8" s="8">
        <v>58.013148138306804</v>
      </c>
      <c r="M8" s="8">
        <v>4.92348289063885E-2</v>
      </c>
      <c r="N8" s="8">
        <v>0.13813039608541899</v>
      </c>
      <c r="O8" s="7" t="s">
        <v>113</v>
      </c>
      <c r="Q8" s="17"/>
      <c r="R8" s="28"/>
      <c r="S8" s="28"/>
      <c r="T8" s="28"/>
      <c r="U8" s="28"/>
    </row>
    <row r="9" spans="1:25" x14ac:dyDescent="0.25">
      <c r="B9" s="13">
        <f t="shared" ref="B9:B11" si="1">J9</f>
        <v>2768.791734842498</v>
      </c>
      <c r="C9" s="13">
        <v>2706</v>
      </c>
      <c r="D9" s="13">
        <v>0</v>
      </c>
      <c r="E9" s="13">
        <v>8232.3700000000008</v>
      </c>
      <c r="F9" s="13">
        <v>3613.5</v>
      </c>
      <c r="G9" s="1" t="s">
        <v>2</v>
      </c>
      <c r="H9" s="1">
        <v>28.5</v>
      </c>
      <c r="I9" s="1">
        <v>-0.36</v>
      </c>
      <c r="J9">
        <v>2768.791734842498</v>
      </c>
      <c r="K9">
        <v>372</v>
      </c>
      <c r="L9" s="8">
        <v>54.787956253880097</v>
      </c>
      <c r="M9" s="8">
        <v>4.6080172171971197E-2</v>
      </c>
      <c r="N9" s="8">
        <v>7.6491930388888296E-2</v>
      </c>
      <c r="O9" t="s">
        <v>115</v>
      </c>
      <c r="Q9" s="17"/>
      <c r="R9" s="28"/>
      <c r="S9" s="28"/>
      <c r="T9" s="28"/>
      <c r="U9" s="28"/>
    </row>
    <row r="10" spans="1:25" x14ac:dyDescent="0.25">
      <c r="B10" s="13">
        <f t="shared" si="1"/>
        <v>2741.957412058654</v>
      </c>
      <c r="C10" s="13">
        <v>2706</v>
      </c>
      <c r="D10" s="13">
        <v>0</v>
      </c>
      <c r="E10" s="13">
        <v>8232.3700000000008</v>
      </c>
      <c r="F10" s="13">
        <v>3613.5</v>
      </c>
      <c r="G10" s="1" t="s">
        <v>3</v>
      </c>
      <c r="H10" s="1">
        <v>28.5</v>
      </c>
      <c r="I10" s="1">
        <v>-0.36</v>
      </c>
      <c r="J10">
        <v>2741.957412058654</v>
      </c>
      <c r="K10">
        <v>392</v>
      </c>
      <c r="L10" s="8">
        <v>57.986810795282501</v>
      </c>
      <c r="M10" s="8">
        <v>4.8943709005210501E-2</v>
      </c>
      <c r="N10" s="8">
        <v>0.16151280790189401</v>
      </c>
      <c r="O10" t="s">
        <v>114</v>
      </c>
      <c r="Q10" s="17"/>
      <c r="R10" s="28"/>
      <c r="S10" s="28"/>
      <c r="T10" s="28"/>
      <c r="U10" s="28"/>
    </row>
    <row r="11" spans="1:25" x14ac:dyDescent="0.25">
      <c r="B11" s="13">
        <f t="shared" si="1"/>
        <v>2766.5397699110372</v>
      </c>
      <c r="C11" s="13">
        <v>2706</v>
      </c>
      <c r="D11" s="13">
        <v>0</v>
      </c>
      <c r="E11" s="13">
        <v>8232.3700000000008</v>
      </c>
      <c r="F11" s="13">
        <v>3613.5</v>
      </c>
      <c r="G11" s="1" t="s">
        <v>4</v>
      </c>
      <c r="H11" s="1">
        <v>28.5</v>
      </c>
      <c r="I11" s="1">
        <v>-0.36</v>
      </c>
      <c r="J11">
        <v>2766.5397699110372</v>
      </c>
      <c r="K11">
        <v>381</v>
      </c>
      <c r="L11" s="8">
        <v>54.687870921217801</v>
      </c>
      <c r="M11" s="8">
        <v>9.4849612576707598E-2</v>
      </c>
      <c r="N11" s="8">
        <v>5.5124191401898601E-2</v>
      </c>
      <c r="O11" s="7" t="s">
        <v>109</v>
      </c>
      <c r="Q11" s="17"/>
      <c r="R11" s="28"/>
      <c r="S11" s="28"/>
      <c r="T11" s="28"/>
      <c r="U11" s="28"/>
    </row>
    <row r="12" spans="1:25" x14ac:dyDescent="0.25">
      <c r="C12" s="13"/>
      <c r="D12" s="13"/>
      <c r="E12" s="13"/>
      <c r="F12" s="13"/>
      <c r="G12" s="1"/>
      <c r="H12" s="1"/>
      <c r="I12" s="1"/>
      <c r="J12" s="20"/>
      <c r="K12" s="20"/>
      <c r="M12" s="20"/>
      <c r="N12" s="20"/>
      <c r="O12" s="20" t="s">
        <v>48</v>
      </c>
      <c r="R12" s="11"/>
      <c r="S12" s="11"/>
      <c r="T12" s="11"/>
    </row>
    <row r="13" spans="1:25" x14ac:dyDescent="0.25">
      <c r="A13">
        <v>2756.5983620608999</v>
      </c>
      <c r="B13" s="13">
        <v>3635.3666209317707</v>
      </c>
      <c r="C13" s="13">
        <v>2706</v>
      </c>
      <c r="D13" s="13">
        <v>8000</v>
      </c>
      <c r="E13" s="13">
        <v>16232.37</v>
      </c>
      <c r="F13" s="13">
        <v>11092.172707484619</v>
      </c>
      <c r="G13" s="1" t="s">
        <v>13</v>
      </c>
      <c r="H13" s="1">
        <v>51.2</v>
      </c>
      <c r="I13" s="4">
        <v>-0.64</v>
      </c>
      <c r="J13" s="17">
        <v>8335.5716379390997</v>
      </c>
      <c r="K13" s="12"/>
      <c r="L13" s="17"/>
      <c r="M13" s="17"/>
      <c r="N13" s="17"/>
      <c r="O13" s="12"/>
      <c r="P13" s="26"/>
      <c r="Q13" s="17">
        <f>B13</f>
        <v>3635.3666209317707</v>
      </c>
      <c r="R13" s="28"/>
      <c r="S13" s="17">
        <f>Q13-R13</f>
        <v>3635.3666209317707</v>
      </c>
      <c r="T13" s="8">
        <v>5401.4320347899093</v>
      </c>
      <c r="U13" s="17">
        <f>IF(S13&gt;0,S13+T13,0)</f>
        <v>9036.7986557216791</v>
      </c>
      <c r="V13" s="8">
        <f>T13+Y13</f>
        <v>10824.884432660725</v>
      </c>
      <c r="X13">
        <f t="shared" ref="X13:X41" si="2">S13*(1+Factor8061)</f>
        <v>4440.2970415763784</v>
      </c>
      <c r="Y13">
        <f t="shared" ref="Y13:Y41" si="3">X13*(1+Factor8061)</f>
        <v>5423.4523978708166</v>
      </c>
    </row>
    <row r="14" spans="1:25" x14ac:dyDescent="0.25">
      <c r="A14">
        <v>2709.6078095227699</v>
      </c>
      <c r="B14" s="13">
        <v>3623.9820588548901</v>
      </c>
      <c r="C14" s="13">
        <v>2706</v>
      </c>
      <c r="D14" s="13">
        <v>8000</v>
      </c>
      <c r="E14" s="13">
        <v>16232.37</v>
      </c>
      <c r="F14" s="13">
        <v>11074.351508907646</v>
      </c>
      <c r="G14" s="1" t="s">
        <v>2</v>
      </c>
      <c r="H14" s="1">
        <v>51.2</v>
      </c>
      <c r="I14" s="4">
        <v>-0.64</v>
      </c>
      <c r="J14" s="17">
        <v>8364.7421904772309</v>
      </c>
      <c r="K14" s="12"/>
      <c r="L14" s="17"/>
      <c r="M14" s="17"/>
      <c r="N14" s="17"/>
      <c r="P14" s="26"/>
      <c r="Q14" s="17">
        <f t="shared" ref="Q14:Q21" si="4">B14</f>
        <v>3623.9820588548901</v>
      </c>
      <c r="R14" s="28"/>
      <c r="S14" s="17">
        <f>Q14-R14</f>
        <v>3623.9820588548901</v>
      </c>
      <c r="T14" s="8">
        <v>5401.4320347899093</v>
      </c>
      <c r="U14" s="17">
        <f t="shared" ref="U14:U21" si="5">IF(S14&gt;0,S14+T14,0)</f>
        <v>9025.4140936447984</v>
      </c>
      <c r="V14" s="8">
        <f>T14+Y14</f>
        <v>10807.900277571924</v>
      </c>
      <c r="X14">
        <f t="shared" si="2"/>
        <v>4426.3917487735698</v>
      </c>
      <c r="Y14">
        <f t="shared" si="3"/>
        <v>5406.4682427820135</v>
      </c>
    </row>
    <row r="15" spans="1:25" x14ac:dyDescent="0.25">
      <c r="A15" s="8">
        <v>2703.9260225053599</v>
      </c>
      <c r="B15" s="13">
        <v>3605.8582209040378</v>
      </c>
      <c r="C15" s="13">
        <v>2706</v>
      </c>
      <c r="D15" s="13">
        <v>8000</v>
      </c>
      <c r="E15" s="13">
        <v>16232.37</v>
      </c>
      <c r="F15" s="13">
        <v>11045.980763250691</v>
      </c>
      <c r="G15" s="1" t="s">
        <v>3</v>
      </c>
      <c r="H15" s="1">
        <v>51.2</v>
      </c>
      <c r="I15" s="4">
        <v>-0.64</v>
      </c>
      <c r="J15" s="17">
        <v>8342.0539774946392</v>
      </c>
      <c r="K15" s="12"/>
      <c r="L15" s="17"/>
      <c r="M15" s="17"/>
      <c r="N15" s="17"/>
      <c r="P15" s="26"/>
      <c r="Q15" s="17">
        <f t="shared" si="4"/>
        <v>3605.8582209040378</v>
      </c>
      <c r="R15" s="28"/>
      <c r="S15" s="17">
        <f>Q15-R15</f>
        <v>3605.8582209040378</v>
      </c>
      <c r="T15" s="8">
        <v>5401.4320347899093</v>
      </c>
      <c r="U15" s="17">
        <f t="shared" si="5"/>
        <v>9007.290255693948</v>
      </c>
      <c r="V15" s="8">
        <f>T15+Y15</f>
        <v>10780.862076850373</v>
      </c>
      <c r="X15">
        <f t="shared" si="2"/>
        <v>4404.2549927248629</v>
      </c>
      <c r="Y15">
        <f t="shared" si="3"/>
        <v>5379.4300420604641</v>
      </c>
    </row>
    <row r="16" spans="1:25" x14ac:dyDescent="0.25">
      <c r="A16">
        <v>2675.7880808729601</v>
      </c>
      <c r="B16" s="13">
        <v>3600.2336847855731</v>
      </c>
      <c r="C16" s="13">
        <v>2706</v>
      </c>
      <c r="D16" s="13">
        <v>8000</v>
      </c>
      <c r="E16" s="13">
        <v>16232.37</v>
      </c>
      <c r="F16" s="13">
        <v>11037.176210700174</v>
      </c>
      <c r="G16" s="1" t="s">
        <v>4</v>
      </c>
      <c r="H16" s="1">
        <v>51.2</v>
      </c>
      <c r="I16" s="4">
        <v>-0.64</v>
      </c>
      <c r="J16" s="17">
        <v>8361.3919191270397</v>
      </c>
      <c r="K16" s="12"/>
      <c r="L16" s="12"/>
      <c r="M16" s="13"/>
      <c r="N16" s="17"/>
      <c r="P16" s="26"/>
      <c r="Q16" s="17">
        <f t="shared" si="4"/>
        <v>3600.2336847855731</v>
      </c>
      <c r="R16" s="28"/>
      <c r="S16" s="17">
        <f>Q16-R16</f>
        <v>3600.2336847855731</v>
      </c>
      <c r="T16" s="8">
        <v>5401.4320347899093</v>
      </c>
      <c r="U16" s="17">
        <f t="shared" si="5"/>
        <v>9001.6657195754815</v>
      </c>
      <c r="V16" s="8">
        <f>T16+Y16</f>
        <v>10772.471065137013</v>
      </c>
      <c r="X16">
        <f t="shared" si="2"/>
        <v>4397.3850910914871</v>
      </c>
      <c r="Y16">
        <f t="shared" si="3"/>
        <v>5371.039030347104</v>
      </c>
    </row>
    <row r="17" spans="1:25" x14ac:dyDescent="0.25">
      <c r="B17" s="13"/>
      <c r="C17" s="13"/>
      <c r="D17" s="13"/>
      <c r="E17" s="13"/>
      <c r="F17" s="13"/>
      <c r="G17" s="1"/>
      <c r="H17" s="1"/>
      <c r="I17" s="4"/>
      <c r="J17" s="8"/>
      <c r="K17" s="8"/>
      <c r="L17" s="8"/>
      <c r="M17" s="8"/>
      <c r="N17" s="8"/>
      <c r="O17" s="7"/>
      <c r="Q17" s="17"/>
      <c r="R17" s="28"/>
      <c r="S17" s="17"/>
      <c r="T17" s="8"/>
      <c r="U17" s="8"/>
      <c r="X17">
        <f t="shared" si="2"/>
        <v>0</v>
      </c>
      <c r="Y17">
        <f t="shared" si="3"/>
        <v>0</v>
      </c>
    </row>
    <row r="18" spans="1:25" x14ac:dyDescent="0.25">
      <c r="A18" s="17">
        <v>3634.3289290365501</v>
      </c>
      <c r="B18" s="13">
        <v>2748.472493686073</v>
      </c>
      <c r="C18" s="13">
        <v>2706</v>
      </c>
      <c r="D18" s="13">
        <v>8000</v>
      </c>
      <c r="E18" s="13">
        <v>16232.37</v>
      </c>
      <c r="F18" s="13">
        <v>9703.8438238911494</v>
      </c>
      <c r="G18" s="5" t="s">
        <v>13</v>
      </c>
      <c r="H18" s="1">
        <v>28.5</v>
      </c>
      <c r="I18" s="1">
        <v>-0.36</v>
      </c>
      <c r="J18" s="17">
        <v>6069.51107096345</v>
      </c>
      <c r="K18" s="25"/>
      <c r="L18" s="17"/>
      <c r="M18" s="17"/>
      <c r="N18" s="17"/>
      <c r="O18" s="7"/>
      <c r="P18" s="26"/>
      <c r="Q18" s="17">
        <f t="shared" si="4"/>
        <v>2748.472493686073</v>
      </c>
      <c r="R18" s="28"/>
      <c r="S18" s="17">
        <f t="shared" ref="S18:S21" si="6">Q18-R18</f>
        <v>2748.472493686073</v>
      </c>
      <c r="T18" s="8">
        <v>5401.4320347899093</v>
      </c>
      <c r="U18" s="17">
        <f t="shared" si="5"/>
        <v>8149.9045284759823</v>
      </c>
      <c r="V18" s="8">
        <f>T18+Y18</f>
        <v>9501.7639381903828</v>
      </c>
      <c r="X18">
        <f t="shared" si="2"/>
        <v>3357.0298556133907</v>
      </c>
      <c r="Y18">
        <f t="shared" si="3"/>
        <v>4100.3319034004744</v>
      </c>
    </row>
    <row r="19" spans="1:25" x14ac:dyDescent="0.25">
      <c r="A19" s="12">
        <v>3678.23535292512</v>
      </c>
      <c r="B19" s="13">
        <v>2768.791734842498</v>
      </c>
      <c r="C19" s="13">
        <v>2706</v>
      </c>
      <c r="D19" s="13">
        <v>8000</v>
      </c>
      <c r="E19" s="13">
        <v>16232.37</v>
      </c>
      <c r="F19" s="13">
        <v>9735.6512161418723</v>
      </c>
      <c r="G19" s="1" t="s">
        <v>2</v>
      </c>
      <c r="H19" s="1">
        <v>28.5</v>
      </c>
      <c r="I19" s="1">
        <v>-0.36</v>
      </c>
      <c r="J19" s="17">
        <v>6057.4146470748801</v>
      </c>
      <c r="K19" s="25"/>
      <c r="L19" s="17"/>
      <c r="M19" s="17"/>
      <c r="N19" s="17"/>
      <c r="O19" s="7"/>
      <c r="P19" s="26"/>
      <c r="Q19" s="17">
        <f t="shared" si="4"/>
        <v>2768.791734842498</v>
      </c>
      <c r="R19" s="28"/>
      <c r="S19" s="17">
        <f t="shared" si="6"/>
        <v>2768.791734842498</v>
      </c>
      <c r="T19" s="8">
        <v>5401.4320347899093</v>
      </c>
      <c r="U19" s="17">
        <f t="shared" si="5"/>
        <v>8170.2237696324073</v>
      </c>
      <c r="V19" s="8">
        <f>T19+Y19</f>
        <v>9532.0773697266195</v>
      </c>
      <c r="X19">
        <f t="shared" si="2"/>
        <v>3381.8481135229126</v>
      </c>
      <c r="Y19">
        <f t="shared" si="3"/>
        <v>4130.6453349367093</v>
      </c>
    </row>
    <row r="20" spans="1:25" x14ac:dyDescent="0.25">
      <c r="A20" s="12">
        <v>3628.9568248572</v>
      </c>
      <c r="B20" s="13">
        <v>2741.957412058654</v>
      </c>
      <c r="C20" s="13">
        <v>2706</v>
      </c>
      <c r="D20" s="13">
        <v>8000</v>
      </c>
      <c r="E20" s="13">
        <v>16232.37</v>
      </c>
      <c r="F20" s="13">
        <v>9693.6452266466222</v>
      </c>
      <c r="G20" s="1" t="s">
        <v>3</v>
      </c>
      <c r="H20" s="1">
        <v>28.5</v>
      </c>
      <c r="I20" s="1">
        <v>-0.36</v>
      </c>
      <c r="J20" s="17">
        <v>6064.6931751428001</v>
      </c>
      <c r="K20" s="25"/>
      <c r="L20" s="17"/>
      <c r="M20" s="17"/>
      <c r="N20" s="17"/>
      <c r="O20" s="7"/>
      <c r="P20" s="26"/>
      <c r="Q20" s="17">
        <f t="shared" si="4"/>
        <v>2741.957412058654</v>
      </c>
      <c r="R20" s="28"/>
      <c r="S20" s="17">
        <f t="shared" si="6"/>
        <v>2741.957412058654</v>
      </c>
      <c r="T20" s="8">
        <v>5401.4320347899093</v>
      </c>
      <c r="U20" s="17">
        <f t="shared" si="5"/>
        <v>8143.3894468485632</v>
      </c>
      <c r="V20" s="8">
        <f>T20+Y20</f>
        <v>9492.0443586379115</v>
      </c>
      <c r="X20">
        <f t="shared" si="2"/>
        <v>3349.0722269359171</v>
      </c>
      <c r="Y20">
        <f t="shared" si="3"/>
        <v>4090.6123238480013</v>
      </c>
    </row>
    <row r="21" spans="1:25" x14ac:dyDescent="0.25">
      <c r="A21" s="12">
        <v>3673.66117896878</v>
      </c>
      <c r="B21" s="13">
        <v>2766.5397699110372</v>
      </c>
      <c r="C21" s="13">
        <v>2706</v>
      </c>
      <c r="D21" s="13">
        <v>8000</v>
      </c>
      <c r="E21" s="13">
        <v>16232.37</v>
      </c>
      <c r="F21" s="13">
        <v>9732.1260287907098</v>
      </c>
      <c r="G21" s="1" t="s">
        <v>4</v>
      </c>
      <c r="H21" s="1">
        <v>28.5</v>
      </c>
      <c r="I21" s="1">
        <v>-0.36</v>
      </c>
      <c r="J21" s="17">
        <v>6058.4688210312106</v>
      </c>
      <c r="K21" s="25"/>
      <c r="L21" s="17"/>
      <c r="M21" s="30"/>
      <c r="N21" s="17"/>
      <c r="O21" s="7"/>
      <c r="P21" s="26"/>
      <c r="Q21" s="17">
        <f t="shared" si="4"/>
        <v>2766.5397699110372</v>
      </c>
      <c r="R21" s="28"/>
      <c r="S21" s="17">
        <f t="shared" si="6"/>
        <v>2766.5397699110372</v>
      </c>
      <c r="T21" s="8">
        <v>5401.4320347899093</v>
      </c>
      <c r="U21" s="17">
        <f t="shared" si="5"/>
        <v>8167.9718047009464</v>
      </c>
      <c r="V21" s="8">
        <f>T21+Y21</f>
        <v>9528.7177568234438</v>
      </c>
      <c r="X21">
        <f t="shared" si="2"/>
        <v>3379.097526232672</v>
      </c>
      <c r="Y21">
        <f t="shared" si="3"/>
        <v>4127.2857220335345</v>
      </c>
    </row>
    <row r="22" spans="1:25" x14ac:dyDescent="0.25">
      <c r="C22" s="13"/>
      <c r="D22" s="13"/>
      <c r="E22" s="13"/>
      <c r="F22" s="13"/>
      <c r="G22" s="1"/>
      <c r="H22" s="1"/>
      <c r="I22" s="1"/>
      <c r="J22" s="20"/>
      <c r="K22" s="20"/>
      <c r="M22" s="20"/>
      <c r="N22" s="23"/>
      <c r="O22" s="20" t="s">
        <v>49</v>
      </c>
      <c r="Q22" s="17"/>
      <c r="R22" s="8"/>
      <c r="S22" s="17"/>
      <c r="T22" s="8"/>
      <c r="U22" s="8"/>
      <c r="X22">
        <f t="shared" si="2"/>
        <v>0</v>
      </c>
      <c r="Y22">
        <f t="shared" si="3"/>
        <v>0</v>
      </c>
    </row>
    <row r="23" spans="1:25" s="12" customFormat="1" x14ac:dyDescent="0.25">
      <c r="A23" s="17">
        <v>3622.7620325675498</v>
      </c>
      <c r="B23" s="13">
        <v>3635.3666209317707</v>
      </c>
      <c r="C23" s="13">
        <v>2706</v>
      </c>
      <c r="D23" s="13">
        <v>8000</v>
      </c>
      <c r="E23" s="13">
        <v>16232.37</v>
      </c>
      <c r="F23" s="45">
        <v>12403.170556588608</v>
      </c>
      <c r="G23" s="1" t="s">
        <v>13</v>
      </c>
      <c r="H23" s="1">
        <v>51.2</v>
      </c>
      <c r="I23" s="4">
        <v>-0.64</v>
      </c>
      <c r="J23" s="17">
        <v>8780.4079674324494</v>
      </c>
      <c r="K23" s="12">
        <v>1151</v>
      </c>
      <c r="L23" s="17">
        <v>168.32116153631</v>
      </c>
      <c r="M23" s="17">
        <v>4.4975723645297401E-2</v>
      </c>
      <c r="N23" s="17">
        <v>4.32732148678832E-2</v>
      </c>
      <c r="O23" s="12" t="s">
        <v>101</v>
      </c>
      <c r="P23" s="26"/>
      <c r="Q23" s="33">
        <f t="shared" ref="Q23:Q31" si="7">B23</f>
        <v>3635.3666209317707</v>
      </c>
      <c r="R23" s="33">
        <f>A13</f>
        <v>2756.5983620608999</v>
      </c>
      <c r="S23" s="33">
        <f>Q23-R23</f>
        <v>878.7682588708708</v>
      </c>
      <c r="T23" s="33">
        <f>F13</f>
        <v>11092.172707484619</v>
      </c>
      <c r="U23" s="33">
        <f t="shared" ref="U23:U31" si="8">S23+T23</f>
        <v>11970.940966355489</v>
      </c>
      <c r="V23" s="33">
        <f>T23+Y23</f>
        <v>12403.170556588608</v>
      </c>
      <c r="W23" s="33"/>
      <c r="X23" s="31">
        <f t="shared" si="2"/>
        <v>1073.3421156558466</v>
      </c>
      <c r="Y23" s="32">
        <f t="shared" si="3"/>
        <v>1310.9978491039888</v>
      </c>
    </row>
    <row r="24" spans="1:25" s="12" customFormat="1" x14ac:dyDescent="0.25">
      <c r="A24" s="17">
        <v>3656.1650417841802</v>
      </c>
      <c r="B24" s="13">
        <v>3623.9820588548901</v>
      </c>
      <c r="C24" s="13">
        <v>2706</v>
      </c>
      <c r="D24" s="13">
        <v>8000</v>
      </c>
      <c r="E24" s="13">
        <v>16232.37</v>
      </c>
      <c r="F24" s="45">
        <v>12438.468455610691</v>
      </c>
      <c r="G24" s="1" t="s">
        <v>2</v>
      </c>
      <c r="H24" s="1">
        <v>51.2</v>
      </c>
      <c r="I24" s="4">
        <v>-0.64</v>
      </c>
      <c r="J24" s="17">
        <v>8782.3049582158201</v>
      </c>
      <c r="K24" s="12">
        <v>1066</v>
      </c>
      <c r="L24" s="17">
        <v>167.89605929637699</v>
      </c>
      <c r="M24" s="17">
        <v>3.9597886970393702E-2</v>
      </c>
      <c r="N24" s="17">
        <v>5.1722625689068699E-2</v>
      </c>
      <c r="O24" s="12" t="s">
        <v>102</v>
      </c>
      <c r="P24" s="26"/>
      <c r="Q24" s="33">
        <f t="shared" si="7"/>
        <v>3623.9820588548901</v>
      </c>
      <c r="R24" s="33">
        <f>A14</f>
        <v>2709.6078095227699</v>
      </c>
      <c r="S24" s="33">
        <f>Q24-R24</f>
        <v>914.37424933212014</v>
      </c>
      <c r="T24" s="33">
        <f t="shared" ref="T24:T31" si="9">F14</f>
        <v>11074.351508907646</v>
      </c>
      <c r="U24" s="33">
        <f t="shared" si="8"/>
        <v>11988.725758239767</v>
      </c>
      <c r="V24" s="33">
        <f>T24+Y24</f>
        <v>12438.468455610691</v>
      </c>
      <c r="W24" s="33"/>
      <c r="X24" s="31">
        <f t="shared" si="2"/>
        <v>1116.8318625213112</v>
      </c>
      <c r="Y24" s="32">
        <f t="shared" si="3"/>
        <v>1364.1169467030456</v>
      </c>
    </row>
    <row r="25" spans="1:25" s="12" customFormat="1" x14ac:dyDescent="0.25">
      <c r="A25" s="12">
        <v>3647.78904939733</v>
      </c>
      <c r="B25" s="13">
        <v>3605.8582209040378</v>
      </c>
      <c r="C25" s="13">
        <v>2706</v>
      </c>
      <c r="D25" s="13">
        <v>8000</v>
      </c>
      <c r="E25" s="13">
        <v>16232.37</v>
      </c>
      <c r="F25" s="45">
        <v>12391.535931182683</v>
      </c>
      <c r="G25" s="1" t="s">
        <v>3</v>
      </c>
      <c r="H25" s="1">
        <v>51.2</v>
      </c>
      <c r="I25" s="4">
        <v>-0.64</v>
      </c>
      <c r="J25" s="17">
        <v>8743.7509506026709</v>
      </c>
      <c r="K25" s="12">
        <v>1103</v>
      </c>
      <c r="L25" s="17">
        <v>168.25212590640101</v>
      </c>
      <c r="M25" s="17">
        <v>4.20763525126834E-2</v>
      </c>
      <c r="N25" s="17">
        <v>4.8195677963527597E-2</v>
      </c>
      <c r="O25" s="12" t="s">
        <v>103</v>
      </c>
      <c r="P25" s="26"/>
      <c r="Q25" s="33">
        <f t="shared" si="7"/>
        <v>3605.8582209040378</v>
      </c>
      <c r="R25" s="33">
        <f>A15</f>
        <v>2703.9260225053599</v>
      </c>
      <c r="S25" s="33">
        <f>Q25-R25</f>
        <v>901.93219839867788</v>
      </c>
      <c r="T25" s="33">
        <f t="shared" si="9"/>
        <v>11045.980763250691</v>
      </c>
      <c r="U25" s="33">
        <f t="shared" si="8"/>
        <v>11947.912961649368</v>
      </c>
      <c r="V25" s="33">
        <f>T25+Y25</f>
        <v>12391.535931182683</v>
      </c>
      <c r="W25" s="33"/>
      <c r="X25" s="31">
        <f t="shared" si="2"/>
        <v>1101.6349353027997</v>
      </c>
      <c r="Y25" s="32">
        <f t="shared" si="3"/>
        <v>1345.5551679319919</v>
      </c>
    </row>
    <row r="26" spans="1:25" s="12" customFormat="1" x14ac:dyDescent="0.25">
      <c r="A26" s="17">
        <v>3636.6312206654302</v>
      </c>
      <c r="B26" s="13">
        <v>3600.2336847855731</v>
      </c>
      <c r="C26" s="13">
        <v>2706</v>
      </c>
      <c r="D26" s="13">
        <v>8000</v>
      </c>
      <c r="E26" s="13">
        <v>16232.37</v>
      </c>
      <c r="F26" s="45">
        <v>12416.318192797142</v>
      </c>
      <c r="G26" s="1" t="s">
        <v>4</v>
      </c>
      <c r="H26" s="1">
        <v>51.2</v>
      </c>
      <c r="I26" s="4">
        <v>-0.64</v>
      </c>
      <c r="J26" s="12">
        <v>8779.6887793345704</v>
      </c>
      <c r="K26" s="12">
        <v>1057</v>
      </c>
      <c r="L26" s="17">
        <v>167.83458072994799</v>
      </c>
      <c r="M26" s="17">
        <v>4.8660476269343403E-2</v>
      </c>
      <c r="N26" s="17">
        <v>4.9028672989855401E-2</v>
      </c>
      <c r="O26" s="12" t="s">
        <v>104</v>
      </c>
      <c r="P26" s="26"/>
      <c r="Q26" s="33">
        <f t="shared" si="7"/>
        <v>3600.2336847855731</v>
      </c>
      <c r="R26" s="33">
        <f>A16</f>
        <v>2675.7880808729601</v>
      </c>
      <c r="S26" s="33">
        <f>Q26-R26</f>
        <v>924.44560391261302</v>
      </c>
      <c r="T26" s="33">
        <f t="shared" si="9"/>
        <v>11037.176210700174</v>
      </c>
      <c r="U26" s="33">
        <f t="shared" si="8"/>
        <v>11961.621814612787</v>
      </c>
      <c r="V26" s="33">
        <f>T26+Y26</f>
        <v>12416.318192797142</v>
      </c>
      <c r="W26" s="33"/>
      <c r="X26" s="31">
        <f t="shared" si="2"/>
        <v>1129.1331819235802</v>
      </c>
      <c r="Y26" s="32">
        <f t="shared" si="3"/>
        <v>1379.1419820969672</v>
      </c>
    </row>
    <row r="27" spans="1:25" x14ac:dyDescent="0.25">
      <c r="B27" s="13"/>
      <c r="C27" s="13"/>
      <c r="D27" s="13"/>
      <c r="E27" s="13"/>
      <c r="F27" s="13"/>
      <c r="G27" s="1"/>
      <c r="H27" s="1"/>
      <c r="I27" s="4"/>
      <c r="J27" s="8"/>
      <c r="K27" s="8"/>
      <c r="L27" s="8"/>
      <c r="M27" s="8"/>
      <c r="N27" s="8"/>
      <c r="Q27" s="33"/>
      <c r="R27" s="34"/>
      <c r="S27" s="33"/>
      <c r="T27" s="34"/>
      <c r="U27" s="33"/>
      <c r="V27" s="34"/>
      <c r="W27" s="34"/>
      <c r="X27" s="31">
        <f t="shared" si="2"/>
        <v>0</v>
      </c>
      <c r="Y27" s="32">
        <f t="shared" si="3"/>
        <v>0</v>
      </c>
    </row>
    <row r="28" spans="1:25" x14ac:dyDescent="0.25">
      <c r="A28" s="17">
        <v>2807.5147611234902</v>
      </c>
      <c r="B28" s="13">
        <v>2748.472493686073</v>
      </c>
      <c r="C28" s="13">
        <v>2706</v>
      </c>
      <c r="D28" s="13">
        <v>8000</v>
      </c>
      <c r="E28" s="13">
        <v>16232.37</v>
      </c>
      <c r="F28" s="44">
        <v>8621.8440920071771</v>
      </c>
      <c r="G28" s="5" t="s">
        <v>13</v>
      </c>
      <c r="H28" s="1">
        <v>28.5</v>
      </c>
      <c r="I28" s="1">
        <v>-0.36</v>
      </c>
      <c r="J28" s="13">
        <v>5814.3252388765104</v>
      </c>
      <c r="K28" s="14">
        <v>778</v>
      </c>
      <c r="L28" s="13">
        <v>114.67077186354</v>
      </c>
      <c r="M28" s="13">
        <v>3.0581198370197599E-2</v>
      </c>
      <c r="N28" s="17">
        <v>5.1977595888024697E-2</v>
      </c>
      <c r="O28" s="6" t="s">
        <v>121</v>
      </c>
      <c r="P28" s="7"/>
      <c r="Q28" s="33">
        <f t="shared" si="7"/>
        <v>2748.472493686073</v>
      </c>
      <c r="R28" s="34">
        <f>A18</f>
        <v>3634.3289290365501</v>
      </c>
      <c r="S28" s="33">
        <f t="shared" ref="S28:S31" si="10">Q28-R28</f>
        <v>-885.85643535047711</v>
      </c>
      <c r="T28" s="34">
        <f t="shared" si="9"/>
        <v>9703.8438238911494</v>
      </c>
      <c r="U28" s="33">
        <f t="shared" si="8"/>
        <v>8817.9873885406723</v>
      </c>
      <c r="V28" s="34">
        <f>T28+X28</f>
        <v>8621.8440920071771</v>
      </c>
      <c r="W28" s="34"/>
      <c r="X28" s="31">
        <f t="shared" si="2"/>
        <v>-1081.9997318839728</v>
      </c>
      <c r="Y28" s="32">
        <f t="shared" si="3"/>
        <v>-1321.5724050520762</v>
      </c>
    </row>
    <row r="29" spans="1:25" x14ac:dyDescent="0.25">
      <c r="A29" s="17">
        <v>2771.60939410419</v>
      </c>
      <c r="B29" s="13">
        <v>2768.791734842498</v>
      </c>
      <c r="C29" s="13">
        <v>2706</v>
      </c>
      <c r="D29" s="13">
        <v>8000</v>
      </c>
      <c r="E29" s="13">
        <v>16232.37</v>
      </c>
      <c r="F29" s="44">
        <v>8624.8417083465447</v>
      </c>
      <c r="G29" s="1" t="s">
        <v>2</v>
      </c>
      <c r="H29" s="1">
        <v>28.5</v>
      </c>
      <c r="I29" s="1">
        <v>-0.36</v>
      </c>
      <c r="J29" s="13">
        <v>6988.3206058958103</v>
      </c>
      <c r="K29" s="14">
        <v>891</v>
      </c>
      <c r="L29" s="13">
        <v>137.796577589641</v>
      </c>
      <c r="M29" s="30">
        <v>0.47616629872412602</v>
      </c>
      <c r="N29" s="17">
        <v>7.3895118167485896E-2</v>
      </c>
      <c r="O29" s="7" t="s">
        <v>120</v>
      </c>
      <c r="P29" s="7"/>
      <c r="Q29" s="33">
        <f t="shared" si="7"/>
        <v>2768.791734842498</v>
      </c>
      <c r="R29" s="34">
        <f t="shared" ref="R29:R31" si="11">A19</f>
        <v>3678.23535292512</v>
      </c>
      <c r="S29" s="33">
        <f t="shared" si="10"/>
        <v>-909.44361808262192</v>
      </c>
      <c r="T29" s="34">
        <f t="shared" si="9"/>
        <v>9735.6512161418723</v>
      </c>
      <c r="U29" s="33">
        <f t="shared" si="8"/>
        <v>8826.2075980592508</v>
      </c>
      <c r="V29" s="34">
        <f t="shared" ref="V29:V31" si="12">T29+X29</f>
        <v>8624.8417083465447</v>
      </c>
      <c r="W29" s="34"/>
      <c r="X29" s="31">
        <f t="shared" si="2"/>
        <v>-1110.8095077953278</v>
      </c>
      <c r="Y29" s="32">
        <f t="shared" si="3"/>
        <v>-1356.7611428291975</v>
      </c>
    </row>
    <row r="30" spans="1:25" x14ac:dyDescent="0.25">
      <c r="A30" s="17">
        <v>2749.4110205728098</v>
      </c>
      <c r="B30" s="13">
        <v>2741.957412058654</v>
      </c>
      <c r="C30" s="13">
        <v>2706</v>
      </c>
      <c r="D30" s="13">
        <v>8000</v>
      </c>
      <c r="E30" s="13">
        <v>16232.37</v>
      </c>
      <c r="F30" s="44">
        <v>8610.2494431644336</v>
      </c>
      <c r="G30" s="1" t="s">
        <v>3</v>
      </c>
      <c r="H30" s="1">
        <v>28.5</v>
      </c>
      <c r="I30" s="1">
        <v>-0.36</v>
      </c>
      <c r="J30" s="13">
        <v>7020.8689794271904</v>
      </c>
      <c r="K30" s="14">
        <v>910</v>
      </c>
      <c r="L30" s="13">
        <v>136.02770082332401</v>
      </c>
      <c r="M30" s="13">
        <v>4.5357272143513198E-2</v>
      </c>
      <c r="N30" s="17">
        <v>5.2024631402059603E-2</v>
      </c>
      <c r="O30" s="7" t="s">
        <v>123</v>
      </c>
      <c r="P30" s="7"/>
      <c r="Q30" s="33">
        <f t="shared" si="7"/>
        <v>2741.957412058654</v>
      </c>
      <c r="R30" s="34">
        <f t="shared" si="11"/>
        <v>3628.9568248572</v>
      </c>
      <c r="S30" s="33">
        <f t="shared" si="10"/>
        <v>-886.99941279854602</v>
      </c>
      <c r="T30" s="34">
        <f t="shared" si="9"/>
        <v>9693.6452266466222</v>
      </c>
      <c r="U30" s="33">
        <f t="shared" si="8"/>
        <v>8806.6458138480757</v>
      </c>
      <c r="V30" s="34">
        <f t="shared" si="12"/>
        <v>8610.2494431644336</v>
      </c>
      <c r="W30" s="34"/>
      <c r="X30" s="31">
        <f t="shared" si="2"/>
        <v>-1083.3957834821877</v>
      </c>
      <c r="Y30" s="32">
        <f t="shared" si="3"/>
        <v>-1323.2775656116053</v>
      </c>
    </row>
    <row r="31" spans="1:25" x14ac:dyDescent="0.25">
      <c r="A31" s="17">
        <v>2767.9429469747802</v>
      </c>
      <c r="B31" s="13">
        <v>2766.5397699110372</v>
      </c>
      <c r="C31" s="13">
        <v>2706</v>
      </c>
      <c r="D31" s="13">
        <v>8000</v>
      </c>
      <c r="E31" s="13">
        <v>16232.37</v>
      </c>
      <c r="F31" s="44">
        <v>8624.1529055855135</v>
      </c>
      <c r="G31" s="1" t="s">
        <v>4</v>
      </c>
      <c r="H31" s="1">
        <v>28.5</v>
      </c>
      <c r="I31" s="1">
        <v>-0.36</v>
      </c>
      <c r="J31" s="13">
        <v>6987.8270530252203</v>
      </c>
      <c r="K31" s="14">
        <v>889</v>
      </c>
      <c r="L31" s="13">
        <v>137.606881493684</v>
      </c>
      <c r="M31" s="30">
        <v>0.36122277486366999</v>
      </c>
      <c r="N31" s="17">
        <v>8.1519752989391195E-2</v>
      </c>
      <c r="O31" s="7" t="s">
        <v>122</v>
      </c>
      <c r="P31" s="7"/>
      <c r="Q31" s="33">
        <f t="shared" si="7"/>
        <v>2766.5397699110372</v>
      </c>
      <c r="R31" s="34">
        <f t="shared" si="11"/>
        <v>3673.66117896878</v>
      </c>
      <c r="S31" s="33">
        <f t="shared" si="10"/>
        <v>-907.12140905774277</v>
      </c>
      <c r="T31" s="34">
        <f t="shared" si="9"/>
        <v>9732.1260287907098</v>
      </c>
      <c r="U31" s="33">
        <f t="shared" si="8"/>
        <v>8825.0046197329666</v>
      </c>
      <c r="V31" s="34">
        <f t="shared" si="12"/>
        <v>8624.1529055855135</v>
      </c>
      <c r="W31" s="34"/>
      <c r="X31" s="31">
        <f t="shared" si="2"/>
        <v>-1107.9731232051954</v>
      </c>
      <c r="Y31" s="32">
        <f t="shared" si="3"/>
        <v>-1353.2967356819729</v>
      </c>
    </row>
    <row r="32" spans="1:25" x14ac:dyDescent="0.25">
      <c r="E32" s="13"/>
      <c r="G32" s="1"/>
      <c r="H32" s="1"/>
      <c r="I32" s="1"/>
      <c r="J32" s="20"/>
      <c r="K32" s="20"/>
      <c r="M32" s="20"/>
      <c r="N32" s="20"/>
      <c r="O32" s="20" t="s">
        <v>50</v>
      </c>
      <c r="Q32" s="17"/>
      <c r="R32" s="8"/>
      <c r="S32" s="17"/>
      <c r="T32" s="8"/>
      <c r="U32" s="8"/>
      <c r="W32" s="8"/>
      <c r="X32" s="31">
        <f t="shared" si="2"/>
        <v>0</v>
      </c>
      <c r="Y32" s="32">
        <f t="shared" si="3"/>
        <v>0</v>
      </c>
    </row>
    <row r="33" spans="1:25" s="12" customFormat="1" x14ac:dyDescent="0.25">
      <c r="A33" s="17"/>
      <c r="B33" s="13">
        <v>3635.3666209317707</v>
      </c>
      <c r="C33" s="13"/>
      <c r="D33" s="13"/>
      <c r="E33" s="13"/>
      <c r="F33" s="13"/>
      <c r="G33" s="5"/>
      <c r="H33" s="5"/>
      <c r="I33" s="24"/>
      <c r="J33" s="17"/>
      <c r="L33" s="17"/>
      <c r="M33" s="17"/>
      <c r="N33" s="17"/>
      <c r="P33" s="26"/>
      <c r="Q33" s="33">
        <f t="shared" ref="Q33:Q41" si="13">B33</f>
        <v>3635.3666209317707</v>
      </c>
      <c r="R33" s="33">
        <f>A23</f>
        <v>3622.7620325675498</v>
      </c>
      <c r="S33" s="33">
        <f>Q33-R33</f>
        <v>12.604588364220945</v>
      </c>
      <c r="T33" s="33">
        <f>F23</f>
        <v>12403.170556588608</v>
      </c>
      <c r="U33" s="33">
        <f t="shared" ref="U33:U41" si="14">S33+T33</f>
        <v>12415.77514495283</v>
      </c>
      <c r="V33" s="33">
        <f>T33+Y33</f>
        <v>12421.974818198565</v>
      </c>
      <c r="W33" s="33"/>
      <c r="X33" s="31">
        <f t="shared" si="2"/>
        <v>15.395453130279684</v>
      </c>
      <c r="Y33" s="32">
        <f t="shared" si="3"/>
        <v>18.804261609957628</v>
      </c>
    </row>
    <row r="34" spans="1:25" s="12" customFormat="1" x14ac:dyDescent="0.25">
      <c r="A34" s="17"/>
      <c r="B34" s="13">
        <v>3623.9820588548901</v>
      </c>
      <c r="C34" s="13"/>
      <c r="D34" s="13"/>
      <c r="E34" s="13"/>
      <c r="F34" s="13"/>
      <c r="G34" s="5"/>
      <c r="H34" s="5"/>
      <c r="I34" s="24"/>
      <c r="J34" s="17"/>
      <c r="L34" s="17"/>
      <c r="M34" s="17"/>
      <c r="N34" s="17"/>
      <c r="P34" s="26"/>
      <c r="Q34" s="33">
        <f t="shared" si="13"/>
        <v>3623.9820588548901</v>
      </c>
      <c r="R34" s="33">
        <f>A24</f>
        <v>3656.1650417841802</v>
      </c>
      <c r="S34" s="33">
        <f>Q34-R34</f>
        <v>-32.18298292929012</v>
      </c>
      <c r="T34" s="33">
        <f t="shared" ref="T34:T41" si="15">F24</f>
        <v>12438.468455610691</v>
      </c>
      <c r="U34" s="33">
        <f t="shared" si="14"/>
        <v>12406.2854726814</v>
      </c>
      <c r="V34" s="33">
        <f>T34+Y34</f>
        <v>12390.456000709029</v>
      </c>
      <c r="W34" s="33"/>
      <c r="X34" s="31">
        <f t="shared" si="2"/>
        <v>-39.308828734693947</v>
      </c>
      <c r="Y34" s="32">
        <f t="shared" si="3"/>
        <v>-48.012454901662018</v>
      </c>
    </row>
    <row r="35" spans="1:25" s="12" customFormat="1" x14ac:dyDescent="0.25">
      <c r="B35" s="13">
        <v>3605.8582209040378</v>
      </c>
      <c r="C35" s="13"/>
      <c r="D35" s="13"/>
      <c r="E35" s="13"/>
      <c r="F35" s="13"/>
      <c r="G35" s="5"/>
      <c r="H35" s="5"/>
      <c r="I35" s="24"/>
      <c r="J35" s="17"/>
      <c r="L35" s="17"/>
      <c r="M35" s="17"/>
      <c r="N35" s="17"/>
      <c r="P35" s="26"/>
      <c r="Q35" s="33">
        <f t="shared" si="13"/>
        <v>3605.8582209040378</v>
      </c>
      <c r="R35" s="33">
        <f>A25</f>
        <v>3647.78904939733</v>
      </c>
      <c r="S35" s="33">
        <f>Q35-R35</f>
        <v>-41.930828493292211</v>
      </c>
      <c r="T35" s="33">
        <f t="shared" si="15"/>
        <v>12391.535931182683</v>
      </c>
      <c r="U35" s="33">
        <f t="shared" si="14"/>
        <v>12349.605102689391</v>
      </c>
      <c r="V35" s="33">
        <f>T35+Y35</f>
        <v>12328.98107054572</v>
      </c>
      <c r="W35" s="33"/>
      <c r="X35" s="31">
        <f t="shared" si="2"/>
        <v>-51.215008862542533</v>
      </c>
      <c r="Y35" s="32">
        <f t="shared" si="3"/>
        <v>-62.55486063696344</v>
      </c>
    </row>
    <row r="36" spans="1:25" s="12" customFormat="1" x14ac:dyDescent="0.25">
      <c r="A36" s="17"/>
      <c r="B36" s="13">
        <v>3600.2336847855731</v>
      </c>
      <c r="C36" s="13"/>
      <c r="D36" s="13"/>
      <c r="E36" s="13"/>
      <c r="F36" s="13"/>
      <c r="G36" s="5"/>
      <c r="H36" s="5"/>
      <c r="I36" s="24"/>
      <c r="L36" s="17"/>
      <c r="M36" s="17"/>
      <c r="N36" s="17"/>
      <c r="P36" s="26"/>
      <c r="Q36" s="33">
        <f t="shared" si="13"/>
        <v>3600.2336847855731</v>
      </c>
      <c r="R36" s="33">
        <f>A26</f>
        <v>3636.6312206654302</v>
      </c>
      <c r="S36" s="33">
        <f>Q36-R36</f>
        <v>-36.39753587985706</v>
      </c>
      <c r="T36" s="33">
        <f t="shared" si="15"/>
        <v>12416.318192797142</v>
      </c>
      <c r="U36" s="33">
        <f t="shared" si="14"/>
        <v>12379.920656917286</v>
      </c>
      <c r="V36" s="33">
        <f>T36+Y36</f>
        <v>12362.018221479915</v>
      </c>
      <c r="W36" s="33"/>
      <c r="X36" s="31">
        <f t="shared" si="2"/>
        <v>-44.456553558434798</v>
      </c>
      <c r="Y36" s="32">
        <f t="shared" si="3"/>
        <v>-54.299971317227076</v>
      </c>
    </row>
    <row r="37" spans="1:25" x14ac:dyDescent="0.25">
      <c r="B37" s="13"/>
      <c r="C37" s="13"/>
      <c r="D37" s="13"/>
      <c r="E37" s="13"/>
      <c r="F37" s="13"/>
      <c r="G37" s="1"/>
      <c r="H37" s="1"/>
      <c r="I37" s="4"/>
      <c r="J37" s="8"/>
      <c r="K37" s="8"/>
      <c r="L37" s="8"/>
      <c r="M37" s="8"/>
      <c r="N37" s="8"/>
      <c r="Q37" s="33"/>
      <c r="R37" s="34"/>
      <c r="S37" s="33"/>
      <c r="T37" s="34"/>
      <c r="U37" s="33"/>
      <c r="V37" s="34"/>
      <c r="W37" s="34"/>
      <c r="X37" s="31">
        <f t="shared" si="2"/>
        <v>0</v>
      </c>
      <c r="Y37" s="32">
        <f t="shared" si="3"/>
        <v>0</v>
      </c>
    </row>
    <row r="38" spans="1:25" x14ac:dyDescent="0.25">
      <c r="A38" s="17"/>
      <c r="B38" s="13">
        <v>2748.472493686073</v>
      </c>
      <c r="C38" s="13"/>
      <c r="D38" s="13"/>
      <c r="E38" s="13"/>
      <c r="F38" s="13"/>
      <c r="G38" s="5"/>
      <c r="H38" s="1"/>
      <c r="I38" s="1"/>
      <c r="J38" s="13"/>
      <c r="K38" s="14"/>
      <c r="L38" s="13"/>
      <c r="M38" s="13"/>
      <c r="N38" s="17"/>
      <c r="O38" s="6"/>
      <c r="P38" s="7"/>
      <c r="Q38" s="33">
        <f t="shared" si="13"/>
        <v>2748.472493686073</v>
      </c>
      <c r="R38" s="34">
        <f>A28</f>
        <v>2807.5147611234902</v>
      </c>
      <c r="S38" s="33">
        <f t="shared" ref="S38:S41" si="16">Q38-R38</f>
        <v>-59.042267437417195</v>
      </c>
      <c r="T38" s="34">
        <f t="shared" si="15"/>
        <v>8621.8440920071771</v>
      </c>
      <c r="U38" s="33">
        <f t="shared" si="14"/>
        <v>8562.8018245697604</v>
      </c>
      <c r="V38" s="34">
        <f>T38+X38</f>
        <v>8549.7288880217457</v>
      </c>
      <c r="W38" s="34"/>
      <c r="X38" s="31">
        <f t="shared" si="2"/>
        <v>-72.115203985431904</v>
      </c>
      <c r="Y38" s="32">
        <f t="shared" si="3"/>
        <v>-88.082705349568698</v>
      </c>
    </row>
    <row r="39" spans="1:25" x14ac:dyDescent="0.25">
      <c r="A39" s="17"/>
      <c r="B39" s="13">
        <v>2768.791734842498</v>
      </c>
      <c r="C39" s="13"/>
      <c r="D39" s="13"/>
      <c r="E39" s="13"/>
      <c r="F39" s="13"/>
      <c r="G39" s="1"/>
      <c r="H39" s="1"/>
      <c r="I39" s="1"/>
      <c r="J39" s="13"/>
      <c r="K39" s="14"/>
      <c r="L39" s="13"/>
      <c r="M39" s="30"/>
      <c r="N39" s="17"/>
      <c r="O39" s="7"/>
      <c r="P39" s="7"/>
      <c r="Q39" s="33">
        <f t="shared" si="13"/>
        <v>2768.791734842498</v>
      </c>
      <c r="R39" s="34">
        <f t="shared" ref="R39:R41" si="17">A29</f>
        <v>2771.60939410419</v>
      </c>
      <c r="S39" s="33">
        <f t="shared" si="16"/>
        <v>-2.8176592616919152</v>
      </c>
      <c r="T39" s="34">
        <f t="shared" si="15"/>
        <v>8624.8417083465447</v>
      </c>
      <c r="U39" s="33">
        <f t="shared" si="14"/>
        <v>8622.0240490848519</v>
      </c>
      <c r="V39" s="34">
        <f>T39+Y39</f>
        <v>8620.6381595789408</v>
      </c>
      <c r="W39" s="34"/>
      <c r="X39" s="31">
        <f t="shared" si="2"/>
        <v>-3.4415357207230373</v>
      </c>
      <c r="Y39" s="32">
        <f t="shared" si="3"/>
        <v>-4.2035487676038539</v>
      </c>
    </row>
    <row r="40" spans="1:25" x14ac:dyDescent="0.25">
      <c r="A40" s="17"/>
      <c r="B40" s="13">
        <v>2741.957412058654</v>
      </c>
      <c r="C40" s="13"/>
      <c r="D40" s="13"/>
      <c r="E40" s="13"/>
      <c r="F40" s="13"/>
      <c r="G40" s="1"/>
      <c r="H40" s="1"/>
      <c r="I40" s="1"/>
      <c r="J40" s="13"/>
      <c r="K40" s="14"/>
      <c r="L40" s="13"/>
      <c r="M40" s="13"/>
      <c r="N40" s="17"/>
      <c r="O40" s="7"/>
      <c r="P40" s="7"/>
      <c r="Q40" s="33">
        <f t="shared" si="13"/>
        <v>2741.957412058654</v>
      </c>
      <c r="R40" s="34">
        <f t="shared" si="17"/>
        <v>2749.4110205728098</v>
      </c>
      <c r="S40" s="33">
        <f t="shared" si="16"/>
        <v>-7.4536085141558033</v>
      </c>
      <c r="T40" s="34">
        <f t="shared" si="15"/>
        <v>8610.2494431644336</v>
      </c>
      <c r="U40" s="33">
        <f t="shared" si="14"/>
        <v>8602.7958346502783</v>
      </c>
      <c r="V40" s="34">
        <f>T40+Y40</f>
        <v>8599.129714349152</v>
      </c>
      <c r="W40" s="34"/>
      <c r="X40" s="31">
        <f t="shared" si="2"/>
        <v>-9.1039609716149386</v>
      </c>
      <c r="Y40" s="32">
        <f t="shared" si="3"/>
        <v>-11.119728815281796</v>
      </c>
    </row>
    <row r="41" spans="1:25" x14ac:dyDescent="0.25">
      <c r="A41" s="17"/>
      <c r="B41" s="13">
        <v>2766.5397699110372</v>
      </c>
      <c r="C41" s="13"/>
      <c r="D41" s="13"/>
      <c r="E41" s="13"/>
      <c r="F41" s="13"/>
      <c r="G41" s="1"/>
      <c r="H41" s="1"/>
      <c r="I41" s="1"/>
      <c r="J41" s="13"/>
      <c r="K41" s="14"/>
      <c r="L41" s="13"/>
      <c r="M41" s="30"/>
      <c r="N41" s="17"/>
      <c r="O41" s="7"/>
      <c r="P41" s="7"/>
      <c r="Q41" s="33">
        <f t="shared" si="13"/>
        <v>2766.5397699110372</v>
      </c>
      <c r="R41" s="34">
        <f t="shared" si="17"/>
        <v>2767.9429469747802</v>
      </c>
      <c r="S41" s="33">
        <f t="shared" si="16"/>
        <v>-1.4031770637429872</v>
      </c>
      <c r="T41" s="34">
        <f t="shared" si="15"/>
        <v>8624.1529055855135</v>
      </c>
      <c r="U41" s="33">
        <f t="shared" si="14"/>
        <v>8622.7497285217705</v>
      </c>
      <c r="V41" s="34">
        <f>T41+Y41</f>
        <v>8622.059564031686</v>
      </c>
      <c r="W41" s="34"/>
      <c r="X41" s="31">
        <f t="shared" si="2"/>
        <v>-1.7138637212190961</v>
      </c>
      <c r="Y41" s="32">
        <f t="shared" si="3"/>
        <v>-2.0933415538275812</v>
      </c>
    </row>
    <row r="42" spans="1:25" x14ac:dyDescent="0.25">
      <c r="V42" s="8"/>
      <c r="W42" s="8"/>
    </row>
    <row r="43" spans="1:25" x14ac:dyDescent="0.25">
      <c r="V43" s="8"/>
      <c r="W43" s="8"/>
    </row>
    <row r="44" spans="1:25" x14ac:dyDescent="0.25">
      <c r="V44" s="8"/>
      <c r="W44" s="8"/>
    </row>
    <row r="45" spans="1:25" x14ac:dyDescent="0.25">
      <c r="V45" s="8"/>
      <c r="W45" s="8"/>
    </row>
    <row r="46" spans="1:25" x14ac:dyDescent="0.25">
      <c r="V46" s="8"/>
      <c r="W46" s="8"/>
    </row>
    <row r="47" spans="1:25" x14ac:dyDescent="0.25">
      <c r="V47" s="8"/>
      <c r="W47" s="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1A17-A2F3-44C4-BB19-75028BEF9A20}">
  <dimension ref="A3:E34"/>
  <sheetViews>
    <sheetView workbookViewId="0">
      <selection activeCell="H31" sqref="H31"/>
    </sheetView>
  </sheetViews>
  <sheetFormatPr defaultRowHeight="15" x14ac:dyDescent="0.25"/>
  <cols>
    <col min="1" max="1" width="10.7109375" customWidth="1"/>
  </cols>
  <sheetData>
    <row r="3" spans="1:5" x14ac:dyDescent="0.25">
      <c r="A3" s="2" t="s">
        <v>150</v>
      </c>
    </row>
    <row r="4" spans="1:5" x14ac:dyDescent="0.25">
      <c r="A4" s="2" t="s">
        <v>71</v>
      </c>
      <c r="B4" s="21" t="s">
        <v>69</v>
      </c>
      <c r="C4" s="21" t="s">
        <v>70</v>
      </c>
    </row>
    <row r="5" spans="1:5" x14ac:dyDescent="0.25">
      <c r="A5" s="38" t="s">
        <v>72</v>
      </c>
      <c r="B5" s="35">
        <f>'32x8061 (8T)'!F28</f>
        <v>8621.8440920071771</v>
      </c>
      <c r="C5" s="35">
        <f>'32x8061 (8T)'!F23</f>
        <v>12403.170556588608</v>
      </c>
    </row>
    <row r="6" spans="1:5" x14ac:dyDescent="0.25">
      <c r="A6" s="38" t="s">
        <v>73</v>
      </c>
      <c r="B6" s="35">
        <f>'32x8061 (8T)'!F29</f>
        <v>8624.8417083465447</v>
      </c>
      <c r="C6" s="35">
        <f>'32x8061 (8T)'!F24</f>
        <v>12438.468455610691</v>
      </c>
    </row>
    <row r="7" spans="1:5" x14ac:dyDescent="0.25">
      <c r="A7" s="38" t="s">
        <v>74</v>
      </c>
      <c r="B7" s="35">
        <f>'32x8061 (8T)'!F30</f>
        <v>8610.2494431644336</v>
      </c>
      <c r="C7" s="35">
        <f>'32x8061 (8T)'!F25</f>
        <v>12391.535931182683</v>
      </c>
    </row>
    <row r="8" spans="1:5" x14ac:dyDescent="0.25">
      <c r="A8" s="38" t="s">
        <v>75</v>
      </c>
      <c r="B8" s="35">
        <f>'32x8061 (8T)'!F31</f>
        <v>8624.1529055855135</v>
      </c>
      <c r="C8" s="35">
        <f>'32x8061 (8T)'!F26</f>
        <v>12416.318192797142</v>
      </c>
    </row>
    <row r="10" spans="1:5" x14ac:dyDescent="0.25">
      <c r="B10">
        <v>51.2</v>
      </c>
      <c r="C10">
        <v>51.2</v>
      </c>
      <c r="D10">
        <v>28.5</v>
      </c>
      <c r="E10">
        <v>28.5</v>
      </c>
    </row>
    <row r="11" spans="1:5" x14ac:dyDescent="0.25">
      <c r="B11" t="s">
        <v>124</v>
      </c>
      <c r="C11" t="s">
        <v>125</v>
      </c>
      <c r="D11" t="s">
        <v>126</v>
      </c>
      <c r="E11" t="s">
        <v>127</v>
      </c>
    </row>
    <row r="12" spans="1:5" x14ac:dyDescent="0.25">
      <c r="A12" s="38" t="s">
        <v>72</v>
      </c>
      <c r="B12" s="35">
        <f>'32x8061 (8T)'!J23</f>
        <v>8780.4079674324494</v>
      </c>
      <c r="C12" s="35">
        <f>'32x8061 (8T)'!B33</f>
        <v>3635.3666209317707</v>
      </c>
      <c r="D12" s="35">
        <f>'32x8061 (8T)'!J28</f>
        <v>5814.3252388765104</v>
      </c>
      <c r="E12" s="35">
        <f>'32x8061 (8T)'!A28</f>
        <v>2807.5147611234902</v>
      </c>
    </row>
    <row r="13" spans="1:5" x14ac:dyDescent="0.25">
      <c r="A13" s="38" t="s">
        <v>73</v>
      </c>
      <c r="B13" s="35">
        <f>'32x8061 (8T)'!J24</f>
        <v>8782.3049582158201</v>
      </c>
      <c r="C13" s="35">
        <f>'32x8061 (8T)'!B34</f>
        <v>3623.9820588548901</v>
      </c>
      <c r="D13" s="35">
        <f>'32x8061 (8T)'!J29</f>
        <v>6988.3206058958103</v>
      </c>
      <c r="E13" s="35">
        <f>'32x8061 (8T)'!A29</f>
        <v>2771.60939410419</v>
      </c>
    </row>
    <row r="14" spans="1:5" x14ac:dyDescent="0.25">
      <c r="A14" s="38" t="s">
        <v>74</v>
      </c>
      <c r="B14" s="35">
        <f>'32x8061 (8T)'!J25</f>
        <v>8743.7509506026709</v>
      </c>
      <c r="C14" s="35">
        <f>'32x8061 (8T)'!B35</f>
        <v>3605.8582209040378</v>
      </c>
      <c r="D14" s="35">
        <f>'32x8061 (8T)'!J30</f>
        <v>7020.8689794271904</v>
      </c>
      <c r="E14" s="35">
        <f>'32x8061 (8T)'!A30</f>
        <v>2749.4110205728098</v>
      </c>
    </row>
    <row r="15" spans="1:5" x14ac:dyDescent="0.25">
      <c r="A15" s="38" t="s">
        <v>75</v>
      </c>
      <c r="B15" s="35">
        <f>'32x8061 (8T)'!J26</f>
        <v>8779.6887793345704</v>
      </c>
      <c r="C15" s="35">
        <f>'32x8061 (8T)'!B36</f>
        <v>3600.2336847855731</v>
      </c>
      <c r="D15" s="35">
        <f>'32x8061 (8T)'!J31</f>
        <v>6987.8270530252203</v>
      </c>
      <c r="E15" s="35">
        <f>'32x8061 (8T)'!A31</f>
        <v>2767.9429469747802</v>
      </c>
    </row>
    <row r="19" spans="1:5" x14ac:dyDescent="0.25">
      <c r="A19" s="2" t="s">
        <v>76</v>
      </c>
    </row>
    <row r="20" spans="1:5" ht="16.5" customHeight="1" x14ac:dyDescent="0.25">
      <c r="A20" s="72" t="s">
        <v>157</v>
      </c>
      <c r="B20" s="73">
        <v>28.5</v>
      </c>
      <c r="C20" s="73" t="s">
        <v>51</v>
      </c>
      <c r="D20" s="73">
        <v>51.2</v>
      </c>
      <c r="E20" s="73" t="s">
        <v>51</v>
      </c>
    </row>
    <row r="21" spans="1:5" ht="30" x14ac:dyDescent="0.25">
      <c r="B21" s="76" t="s">
        <v>159</v>
      </c>
      <c r="C21" s="76" t="s">
        <v>159</v>
      </c>
      <c r="D21" s="76" t="s">
        <v>159</v>
      </c>
      <c r="E21" s="76" t="s">
        <v>159</v>
      </c>
    </row>
    <row r="22" spans="1:5" x14ac:dyDescent="0.25">
      <c r="A22" s="75" t="s">
        <v>158</v>
      </c>
      <c r="B22" s="67" t="s">
        <v>160</v>
      </c>
      <c r="C22" s="67" t="s">
        <v>161</v>
      </c>
      <c r="D22" s="67" t="s">
        <v>162</v>
      </c>
      <c r="E22" s="67" t="s">
        <v>163</v>
      </c>
    </row>
    <row r="23" spans="1:5" x14ac:dyDescent="0.25">
      <c r="A23" s="72" t="s">
        <v>72</v>
      </c>
      <c r="B23" s="8">
        <f>'32x8061 (8T)'!L28</f>
        <v>114.67077186354</v>
      </c>
      <c r="C23" s="8">
        <v>58.013148138306804</v>
      </c>
      <c r="D23" s="8">
        <f>'32x8061 (8T)'!L23</f>
        <v>168.32116153631</v>
      </c>
      <c r="E23" s="8">
        <v>72.109166937258095</v>
      </c>
    </row>
    <row r="24" spans="1:5" x14ac:dyDescent="0.25">
      <c r="A24" s="72" t="s">
        <v>73</v>
      </c>
      <c r="B24" s="8">
        <f>'32x8061 (8T)'!L29</f>
        <v>137.796577589641</v>
      </c>
      <c r="C24" s="8">
        <v>54.787956253880097</v>
      </c>
      <c r="D24" s="8">
        <f>'32x8061 (8T)'!L24</f>
        <v>167.89605929637699</v>
      </c>
      <c r="E24" s="8">
        <v>71.274233200427204</v>
      </c>
    </row>
    <row r="25" spans="1:5" x14ac:dyDescent="0.25">
      <c r="A25" s="72" t="s">
        <v>74</v>
      </c>
      <c r="B25" s="8">
        <f>'32x8061 (8T)'!L30</f>
        <v>136.02770082332401</v>
      </c>
      <c r="C25" s="8">
        <v>57.986810795282501</v>
      </c>
      <c r="D25" s="8">
        <f>'32x8061 (8T)'!L25</f>
        <v>168.25212590640101</v>
      </c>
      <c r="E25" s="8">
        <v>71.307111317313598</v>
      </c>
    </row>
    <row r="26" spans="1:5" x14ac:dyDescent="0.25">
      <c r="A26" s="72" t="s">
        <v>75</v>
      </c>
      <c r="B26" s="8">
        <f>'32x8061 (8T)'!L31</f>
        <v>137.606881493684</v>
      </c>
      <c r="C26" s="8">
        <v>54.687870921217801</v>
      </c>
      <c r="D26" s="8">
        <f>'32x8061 (8T)'!L26</f>
        <v>167.83458072994799</v>
      </c>
      <c r="E26" s="8">
        <v>70.771552530561095</v>
      </c>
    </row>
    <row r="29" spans="1:5" x14ac:dyDescent="0.25">
      <c r="B29" t="s">
        <v>151</v>
      </c>
      <c r="C29" t="s">
        <v>152</v>
      </c>
    </row>
    <row r="30" spans="1:5" x14ac:dyDescent="0.25">
      <c r="A30" s="21" t="s">
        <v>71</v>
      </c>
      <c r="B30" t="s">
        <v>153</v>
      </c>
      <c r="C30" t="s">
        <v>153</v>
      </c>
    </row>
    <row r="31" spans="1:5" x14ac:dyDescent="0.25">
      <c r="A31" s="38" t="s">
        <v>72</v>
      </c>
      <c r="B31" s="35">
        <f>'32x8061 (8T)'!J3</f>
        <v>3635.3666209317707</v>
      </c>
      <c r="C31" s="35">
        <f>'32x8061 (8T)'!J8</f>
        <v>2748.472493686073</v>
      </c>
    </row>
    <row r="32" spans="1:5" x14ac:dyDescent="0.25">
      <c r="A32" s="38" t="s">
        <v>73</v>
      </c>
      <c r="B32" s="35">
        <f>'32x8061 (8T)'!J4</f>
        <v>3623.9820588548901</v>
      </c>
      <c r="C32" s="35">
        <f>'32x8061 (8T)'!J9</f>
        <v>2768.791734842498</v>
      </c>
    </row>
    <row r="33" spans="1:3" x14ac:dyDescent="0.25">
      <c r="A33" s="38" t="s">
        <v>74</v>
      </c>
      <c r="B33" s="35">
        <f>'32x8061 (8T)'!J5</f>
        <v>3605.8582209040378</v>
      </c>
      <c r="C33" s="35">
        <f>'32x8061 (8T)'!J10</f>
        <v>2741.957412058654</v>
      </c>
    </row>
    <row r="34" spans="1:3" x14ac:dyDescent="0.25">
      <c r="A34" s="38" t="s">
        <v>75</v>
      </c>
      <c r="B34" s="35">
        <f>'32x8061 (8T)'!J6</f>
        <v>3600.2336847855731</v>
      </c>
      <c r="C34" s="35">
        <f>'32x8061 (8T)'!J11</f>
        <v>2766.5397699110372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FB71C-9E7A-4CE2-BB1C-49A8B1EEFAF0}">
  <dimension ref="A1:Y47"/>
  <sheetViews>
    <sheetView zoomScale="70" zoomScaleNormal="70" workbookViewId="0">
      <pane ySplit="825" activePane="bottomLeft"/>
      <selection activeCell="W1" sqref="W1:W1048576"/>
      <selection pane="bottomLeft" activeCell="J3" sqref="J3:J6"/>
    </sheetView>
  </sheetViews>
  <sheetFormatPr defaultRowHeight="15" x14ac:dyDescent="0.25"/>
  <cols>
    <col min="1" max="2" width="10.42578125" customWidth="1"/>
    <col min="4" max="4" width="13.28515625" customWidth="1"/>
    <col min="5" max="5" width="13.85546875" customWidth="1"/>
    <col min="6" max="6" width="13.5703125" customWidth="1"/>
    <col min="7" max="7" width="25" customWidth="1"/>
    <col min="8" max="8" width="10.42578125" bestFit="1" customWidth="1"/>
    <col min="10" max="10" width="9.7109375" bestFit="1" customWidth="1"/>
    <col min="11" max="11" width="9.7109375" customWidth="1"/>
    <col min="12" max="14" width="11.140625" customWidth="1"/>
    <col min="15" max="15" width="68.42578125" customWidth="1"/>
    <col min="16" max="16" width="26.7109375" style="16" customWidth="1"/>
    <col min="17" max="17" width="13.42578125" bestFit="1" customWidth="1"/>
    <col min="18" max="18" width="12.7109375" bestFit="1" customWidth="1"/>
    <col min="19" max="19" width="13.7109375" customWidth="1"/>
    <col min="20" max="20" width="12.85546875" customWidth="1"/>
    <col min="21" max="21" width="13.140625" customWidth="1"/>
    <col min="22" max="22" width="11.42578125" customWidth="1"/>
  </cols>
  <sheetData>
    <row r="1" spans="1:25" ht="45" x14ac:dyDescent="0.25">
      <c r="A1" s="1" t="s">
        <v>47</v>
      </c>
      <c r="B1" s="21" t="s">
        <v>37</v>
      </c>
      <c r="C1" s="21" t="s">
        <v>21</v>
      </c>
      <c r="D1" s="21" t="s">
        <v>22</v>
      </c>
      <c r="E1" s="21" t="s">
        <v>19</v>
      </c>
      <c r="F1" s="21" t="s">
        <v>36</v>
      </c>
      <c r="G1" s="5" t="s">
        <v>0</v>
      </c>
      <c r="H1" s="5" t="s">
        <v>1</v>
      </c>
      <c r="I1" s="5" t="s">
        <v>17</v>
      </c>
      <c r="J1" s="5" t="s">
        <v>14</v>
      </c>
      <c r="K1" s="5" t="s">
        <v>53</v>
      </c>
      <c r="L1" s="5" t="s">
        <v>15</v>
      </c>
      <c r="M1" s="5" t="s">
        <v>16</v>
      </c>
      <c r="N1" s="5" t="s">
        <v>18</v>
      </c>
      <c r="O1" s="5" t="s">
        <v>45</v>
      </c>
      <c r="P1" s="3" t="s">
        <v>20</v>
      </c>
      <c r="Q1" s="1" t="s">
        <v>54</v>
      </c>
      <c r="R1" s="1" t="s">
        <v>52</v>
      </c>
      <c r="S1" s="1" t="s">
        <v>46</v>
      </c>
      <c r="T1" s="1" t="s">
        <v>36</v>
      </c>
      <c r="U1" s="1" t="s">
        <v>55</v>
      </c>
      <c r="V1" s="1" t="s">
        <v>66</v>
      </c>
      <c r="W1" s="1" t="s">
        <v>65</v>
      </c>
      <c r="X1" s="1" t="s">
        <v>64</v>
      </c>
      <c r="Y1" s="1" t="s">
        <v>67</v>
      </c>
    </row>
    <row r="2" spans="1:25" x14ac:dyDescent="0.25">
      <c r="C2" s="13"/>
      <c r="D2" s="13"/>
      <c r="E2" s="13"/>
      <c r="F2" s="13"/>
      <c r="G2" s="5"/>
      <c r="H2" s="5"/>
      <c r="I2" s="5"/>
      <c r="J2" s="22"/>
      <c r="K2" s="22"/>
      <c r="L2" s="22" t="s">
        <v>51</v>
      </c>
      <c r="M2" s="22"/>
      <c r="N2" s="22"/>
      <c r="O2" s="6" t="s">
        <v>51</v>
      </c>
      <c r="P2" s="3"/>
      <c r="R2" s="27"/>
      <c r="S2" s="27"/>
      <c r="T2" s="27"/>
      <c r="U2" s="27"/>
      <c r="W2">
        <v>1.02</v>
      </c>
    </row>
    <row r="3" spans="1:25" x14ac:dyDescent="0.25">
      <c r="B3" s="13">
        <f>J3</f>
        <v>3635.3666209317707</v>
      </c>
      <c r="C3" s="13">
        <v>2706</v>
      </c>
      <c r="D3" s="13">
        <v>0</v>
      </c>
      <c r="E3" s="13">
        <v>8232.3700000000008</v>
      </c>
      <c r="F3" s="13">
        <v>3613.5</v>
      </c>
      <c r="G3" s="1" t="s">
        <v>13</v>
      </c>
      <c r="H3" s="1">
        <v>51.2</v>
      </c>
      <c r="I3" s="4">
        <v>-0.64</v>
      </c>
      <c r="J3" s="17">
        <v>3635.3666209317707</v>
      </c>
      <c r="K3" s="35">
        <v>491</v>
      </c>
      <c r="L3" s="8">
        <v>72.109166937258095</v>
      </c>
      <c r="M3" s="8">
        <v>8.1615759936938301E-2</v>
      </c>
      <c r="N3" s="8">
        <v>9.89312282714125E-2</v>
      </c>
      <c r="O3" s="6" t="s">
        <v>112</v>
      </c>
      <c r="P3" s="3"/>
      <c r="Q3" s="17"/>
      <c r="R3" s="28"/>
      <c r="S3" s="28"/>
      <c r="T3" s="28"/>
      <c r="U3" s="28"/>
    </row>
    <row r="4" spans="1:25" x14ac:dyDescent="0.25">
      <c r="B4" s="13">
        <f t="shared" ref="B4:B11" si="0">J4</f>
        <v>3623.9820588548901</v>
      </c>
      <c r="C4" s="13">
        <v>2706</v>
      </c>
      <c r="D4" s="13">
        <v>0</v>
      </c>
      <c r="E4" s="13">
        <v>8232.3700000000008</v>
      </c>
      <c r="F4" s="13">
        <v>3613.5</v>
      </c>
      <c r="G4" s="1" t="s">
        <v>2</v>
      </c>
      <c r="H4" s="1">
        <v>51.2</v>
      </c>
      <c r="I4" s="4">
        <v>-0.64</v>
      </c>
      <c r="J4" s="17">
        <v>3623.9820588548901</v>
      </c>
      <c r="K4" s="25">
        <v>479</v>
      </c>
      <c r="L4" s="8">
        <v>71.274233200427204</v>
      </c>
      <c r="M4" s="8">
        <v>3.4424301841286101E-2</v>
      </c>
      <c r="N4" s="8">
        <v>8.4298074570891196E-2</v>
      </c>
      <c r="O4" s="7" t="s">
        <v>110</v>
      </c>
      <c r="P4" s="3"/>
      <c r="Q4" s="17"/>
      <c r="R4" s="28"/>
      <c r="S4" s="28"/>
      <c r="T4" s="28"/>
      <c r="U4" s="28"/>
    </row>
    <row r="5" spans="1:25" x14ac:dyDescent="0.25">
      <c r="B5" s="13">
        <f t="shared" si="0"/>
        <v>3605.8582209040378</v>
      </c>
      <c r="C5" s="13">
        <v>2706</v>
      </c>
      <c r="D5" s="13">
        <v>0</v>
      </c>
      <c r="E5" s="13">
        <v>8232.3700000000008</v>
      </c>
      <c r="F5" s="13">
        <v>3613.5</v>
      </c>
      <c r="G5" s="1" t="s">
        <v>3</v>
      </c>
      <c r="H5" s="1">
        <v>51.2</v>
      </c>
      <c r="I5" s="4">
        <v>-0.64</v>
      </c>
      <c r="J5" s="17">
        <v>3605.8582209040378</v>
      </c>
      <c r="K5" s="25">
        <v>454</v>
      </c>
      <c r="L5" s="8">
        <v>71.307111317313598</v>
      </c>
      <c r="M5" s="8">
        <v>3.9733472287336501E-2</v>
      </c>
      <c r="N5" s="8">
        <v>9.78445213437837E-2</v>
      </c>
      <c r="O5" s="7" t="s">
        <v>110</v>
      </c>
      <c r="Q5" s="17"/>
      <c r="R5" s="28"/>
      <c r="S5" s="28"/>
      <c r="T5" s="28"/>
      <c r="U5" s="28"/>
    </row>
    <row r="6" spans="1:25" x14ac:dyDescent="0.25">
      <c r="B6" s="13">
        <f t="shared" si="0"/>
        <v>3600.2336847855731</v>
      </c>
      <c r="C6" s="13">
        <v>2706</v>
      </c>
      <c r="D6" s="13">
        <v>0</v>
      </c>
      <c r="E6" s="13">
        <v>8232.3700000000008</v>
      </c>
      <c r="F6" s="13">
        <v>3613.5</v>
      </c>
      <c r="G6" s="1" t="s">
        <v>4</v>
      </c>
      <c r="H6" s="1">
        <v>51.2</v>
      </c>
      <c r="I6" s="4">
        <v>-0.64</v>
      </c>
      <c r="J6" s="17">
        <v>3600.2336847855731</v>
      </c>
      <c r="K6" s="25">
        <v>498</v>
      </c>
      <c r="L6" s="8">
        <v>70.771552530561095</v>
      </c>
      <c r="M6" s="8">
        <v>0.21447531577868301</v>
      </c>
      <c r="N6" s="8">
        <v>0.112343146285093</v>
      </c>
      <c r="O6" s="7" t="s">
        <v>111</v>
      </c>
      <c r="Q6" s="17"/>
      <c r="R6" s="28"/>
      <c r="S6" s="28"/>
      <c r="T6" s="28"/>
      <c r="U6" s="28"/>
    </row>
    <row r="7" spans="1:25" x14ac:dyDescent="0.25">
      <c r="B7" s="13"/>
      <c r="C7" s="13"/>
      <c r="D7" s="13"/>
      <c r="E7" s="13"/>
      <c r="F7" s="13"/>
      <c r="G7" s="1"/>
      <c r="H7" s="1"/>
      <c r="I7" s="4"/>
      <c r="J7" s="17"/>
      <c r="K7" s="17"/>
      <c r="L7" s="8"/>
      <c r="M7" s="8"/>
      <c r="N7" s="8"/>
      <c r="O7" s="7"/>
      <c r="Q7" s="17"/>
      <c r="R7" s="27"/>
      <c r="S7" s="27"/>
      <c r="T7" s="27"/>
      <c r="U7" s="27"/>
    </row>
    <row r="8" spans="1:25" x14ac:dyDescent="0.25">
      <c r="B8" s="13">
        <f>J8</f>
        <v>2748.472493686073</v>
      </c>
      <c r="C8" s="13">
        <v>2706</v>
      </c>
      <c r="D8" s="13">
        <v>0</v>
      </c>
      <c r="E8" s="13">
        <v>8232.3700000000008</v>
      </c>
      <c r="F8" s="13">
        <v>3613.5</v>
      </c>
      <c r="G8" s="5" t="s">
        <v>13</v>
      </c>
      <c r="H8" s="1">
        <v>28.5</v>
      </c>
      <c r="I8" s="1">
        <v>-0.36</v>
      </c>
      <c r="J8">
        <v>2748.472493686073</v>
      </c>
      <c r="K8">
        <v>398</v>
      </c>
      <c r="L8" s="8">
        <v>58.013148138306804</v>
      </c>
      <c r="M8" s="8">
        <v>4.92348289063885E-2</v>
      </c>
      <c r="N8" s="8">
        <v>0.13813039608541899</v>
      </c>
      <c r="O8" s="7" t="s">
        <v>113</v>
      </c>
      <c r="Q8" s="17"/>
      <c r="R8" s="28"/>
      <c r="S8" s="28"/>
      <c r="T8" s="28"/>
      <c r="U8" s="28"/>
    </row>
    <row r="9" spans="1:25" x14ac:dyDescent="0.25">
      <c r="B9" s="13">
        <f t="shared" si="0"/>
        <v>2768.791734842498</v>
      </c>
      <c r="C9" s="13">
        <v>2706</v>
      </c>
      <c r="D9" s="13">
        <v>0</v>
      </c>
      <c r="E9" s="13">
        <v>8232.3700000000008</v>
      </c>
      <c r="F9" s="13">
        <v>3613.5</v>
      </c>
      <c r="G9" s="1" t="s">
        <v>2</v>
      </c>
      <c r="H9" s="1">
        <v>28.5</v>
      </c>
      <c r="I9" s="1">
        <v>-0.36</v>
      </c>
      <c r="J9">
        <v>2768.791734842498</v>
      </c>
      <c r="K9">
        <v>372</v>
      </c>
      <c r="L9" s="8">
        <v>54.787956253880097</v>
      </c>
      <c r="M9" s="8">
        <v>4.6080172171971197E-2</v>
      </c>
      <c r="N9" s="8">
        <v>7.6491930388888296E-2</v>
      </c>
      <c r="O9" t="s">
        <v>115</v>
      </c>
      <c r="Q9" s="17"/>
      <c r="R9" s="28"/>
      <c r="S9" s="28"/>
      <c r="T9" s="28"/>
      <c r="U9" s="28"/>
    </row>
    <row r="10" spans="1:25" x14ac:dyDescent="0.25">
      <c r="B10" s="13">
        <f>J10</f>
        <v>2741.957412058654</v>
      </c>
      <c r="C10" s="13">
        <v>2706</v>
      </c>
      <c r="D10" s="13">
        <v>0</v>
      </c>
      <c r="E10" s="13">
        <v>8232.3700000000008</v>
      </c>
      <c r="F10" s="13">
        <v>3613.5</v>
      </c>
      <c r="G10" s="1" t="s">
        <v>3</v>
      </c>
      <c r="H10" s="1">
        <v>28.5</v>
      </c>
      <c r="I10" s="1">
        <v>-0.36</v>
      </c>
      <c r="J10">
        <v>2741.957412058654</v>
      </c>
      <c r="K10">
        <v>392</v>
      </c>
      <c r="L10" s="8">
        <v>57.986810795282501</v>
      </c>
      <c r="M10" s="8">
        <v>4.8943709005210501E-2</v>
      </c>
      <c r="N10" s="8">
        <v>0.16151280790189401</v>
      </c>
      <c r="O10" t="s">
        <v>114</v>
      </c>
      <c r="Q10" s="17"/>
      <c r="R10" s="28"/>
      <c r="S10" s="28"/>
      <c r="T10" s="28"/>
      <c r="U10" s="28"/>
    </row>
    <row r="11" spans="1:25" x14ac:dyDescent="0.25">
      <c r="B11" s="13">
        <f t="shared" si="0"/>
        <v>2766.5397699110372</v>
      </c>
      <c r="C11" s="13">
        <v>2706</v>
      </c>
      <c r="D11" s="13">
        <v>0</v>
      </c>
      <c r="E11" s="13">
        <v>8232.3700000000008</v>
      </c>
      <c r="F11" s="13">
        <v>3613.5</v>
      </c>
      <c r="G11" s="1" t="s">
        <v>4</v>
      </c>
      <c r="H11" s="1">
        <v>28.5</v>
      </c>
      <c r="I11" s="1">
        <v>-0.36</v>
      </c>
      <c r="J11">
        <v>2766.5397699110372</v>
      </c>
      <c r="K11">
        <v>381</v>
      </c>
      <c r="L11" s="8">
        <v>54.687870921217801</v>
      </c>
      <c r="M11" s="8">
        <v>9.4849612576707598E-2</v>
      </c>
      <c r="N11" s="8">
        <v>5.5124191401898601E-2</v>
      </c>
      <c r="O11" s="7" t="s">
        <v>109</v>
      </c>
      <c r="Q11" s="17"/>
      <c r="R11" s="28"/>
      <c r="S11" s="28"/>
      <c r="T11" s="28"/>
      <c r="U11" s="28"/>
    </row>
    <row r="12" spans="1:25" x14ac:dyDescent="0.25">
      <c r="C12" s="13"/>
      <c r="D12" s="13"/>
      <c r="E12" s="13"/>
      <c r="F12" s="13"/>
      <c r="G12" s="1"/>
      <c r="H12" s="1"/>
      <c r="I12" s="1"/>
      <c r="J12" s="20"/>
      <c r="K12" s="20"/>
      <c r="M12" s="20"/>
      <c r="N12" s="20"/>
      <c r="O12" s="20" t="s">
        <v>48</v>
      </c>
      <c r="R12" s="11"/>
      <c r="S12" s="11"/>
      <c r="T12" s="11"/>
    </row>
    <row r="13" spans="1:25" x14ac:dyDescent="0.25">
      <c r="A13">
        <v>1514.54128151186</v>
      </c>
      <c r="B13" s="13">
        <v>3635.3666209317707</v>
      </c>
      <c r="C13" s="13">
        <v>2706</v>
      </c>
      <c r="D13" s="13">
        <v>12000</v>
      </c>
      <c r="E13" s="13">
        <v>20232.37</v>
      </c>
      <c r="F13" s="13">
        <v>11092.172707484619</v>
      </c>
      <c r="G13" s="1" t="s">
        <v>13</v>
      </c>
      <c r="H13" s="1">
        <v>51.2</v>
      </c>
      <c r="I13" s="4">
        <v>-0.64</v>
      </c>
      <c r="J13" s="17">
        <v>9577.6287184881403</v>
      </c>
      <c r="K13" s="12"/>
      <c r="L13" s="17"/>
      <c r="M13" s="17"/>
      <c r="N13" s="17"/>
      <c r="O13" s="12"/>
      <c r="P13" s="26"/>
      <c r="Q13" s="17">
        <f>B13</f>
        <v>3635.3666209317707</v>
      </c>
      <c r="R13" s="28"/>
      <c r="S13" s="17">
        <f>Q13-R13</f>
        <v>3635.3666209317707</v>
      </c>
      <c r="T13" s="8">
        <v>5401.4320347899093</v>
      </c>
      <c r="U13" s="17">
        <f>IF(S13&gt;0,S13+T13,0)</f>
        <v>9036.7986557216791</v>
      </c>
      <c r="V13" s="8">
        <f>T13+Y13</f>
        <v>11092.172707484619</v>
      </c>
      <c r="X13">
        <f>S13*(1+Factor_8060)</f>
        <v>4548.3984752760125</v>
      </c>
      <c r="Y13">
        <f>X13*(1+Factor_8060)</f>
        <v>5690.7406726947092</v>
      </c>
    </row>
    <row r="14" spans="1:25" x14ac:dyDescent="0.25">
      <c r="A14">
        <v>1494.57011577303</v>
      </c>
      <c r="B14" s="13">
        <v>3623.9820588548901</v>
      </c>
      <c r="C14" s="13">
        <v>2706</v>
      </c>
      <c r="D14" s="13">
        <v>12000</v>
      </c>
      <c r="E14" s="13">
        <v>20232.37</v>
      </c>
      <c r="F14" s="13">
        <v>11074.351508907646</v>
      </c>
      <c r="G14" s="1" t="s">
        <v>2</v>
      </c>
      <c r="H14" s="1">
        <v>51.2</v>
      </c>
      <c r="I14" s="4">
        <v>-0.64</v>
      </c>
      <c r="J14" s="17">
        <v>9579.7798842269694</v>
      </c>
      <c r="K14" s="12"/>
      <c r="L14" s="17"/>
      <c r="M14" s="17"/>
      <c r="N14" s="17"/>
      <c r="O14" s="12"/>
      <c r="P14" s="26"/>
      <c r="Q14" s="17">
        <f t="shared" ref="Q14:Q21" si="1">B14</f>
        <v>3623.9820588548901</v>
      </c>
      <c r="R14" s="28"/>
      <c r="S14" s="17">
        <f>Q14-R14</f>
        <v>3623.9820588548901</v>
      </c>
      <c r="T14" s="8">
        <v>5401.4320347899093</v>
      </c>
      <c r="U14" s="17">
        <f t="shared" ref="U14:U21" si="2">IF(S14&gt;0,S14+T14,0)</f>
        <v>9025.4140936447984</v>
      </c>
      <c r="V14" s="8">
        <f>T14+Y14</f>
        <v>11074.351508907646</v>
      </c>
      <c r="X14">
        <f>S14*(1+Factor_8060)</f>
        <v>4534.1546505970873</v>
      </c>
      <c r="Y14">
        <f>X14*(1+Factor_8060)</f>
        <v>5672.9194741177371</v>
      </c>
    </row>
    <row r="15" spans="1:25" x14ac:dyDescent="0.25">
      <c r="A15" s="8">
        <v>1484.3685099268</v>
      </c>
      <c r="B15" s="13">
        <v>3605.8582209040378</v>
      </c>
      <c r="C15" s="13">
        <v>2706</v>
      </c>
      <c r="D15" s="13">
        <v>12000</v>
      </c>
      <c r="E15" s="13">
        <v>20232.37</v>
      </c>
      <c r="F15" s="13">
        <v>11045.980763250691</v>
      </c>
      <c r="G15" s="1" t="s">
        <v>3</v>
      </c>
      <c r="H15" s="1">
        <v>51.2</v>
      </c>
      <c r="I15" s="4">
        <v>-0.64</v>
      </c>
      <c r="J15" s="17">
        <v>9561.6114900731991</v>
      </c>
      <c r="K15" s="12"/>
      <c r="L15" s="17"/>
      <c r="M15" s="17"/>
      <c r="N15" s="17"/>
      <c r="O15" s="12"/>
      <c r="P15" s="26"/>
      <c r="Q15" s="17">
        <f t="shared" si="1"/>
        <v>3605.8582209040378</v>
      </c>
      <c r="R15" s="28"/>
      <c r="S15" s="17">
        <f>Q15-R15</f>
        <v>3605.8582209040378</v>
      </c>
      <c r="T15" s="8">
        <v>5401.4320347899093</v>
      </c>
      <c r="U15" s="17">
        <f t="shared" si="2"/>
        <v>9007.290255693948</v>
      </c>
      <c r="V15" s="8">
        <f>T15+Y15</f>
        <v>11045.980763250691</v>
      </c>
      <c r="X15">
        <f>S15*(1+Factor_8060)</f>
        <v>4511.4789632462816</v>
      </c>
      <c r="Y15">
        <f>X15*(1+Factor_8060)</f>
        <v>5644.5487284607816</v>
      </c>
    </row>
    <row r="16" spans="1:25" x14ac:dyDescent="0.25">
      <c r="A16">
        <v>1443.2879256962301</v>
      </c>
      <c r="B16" s="13">
        <v>3600.2336847855731</v>
      </c>
      <c r="C16" s="13">
        <v>2706</v>
      </c>
      <c r="D16" s="13">
        <v>12000</v>
      </c>
      <c r="E16" s="13">
        <v>20232.37</v>
      </c>
      <c r="F16" s="13">
        <v>11037.176210700174</v>
      </c>
      <c r="G16" s="1" t="s">
        <v>4</v>
      </c>
      <c r="H16" s="1">
        <v>51.2</v>
      </c>
      <c r="I16" s="4">
        <v>-0.64</v>
      </c>
      <c r="J16" s="17">
        <v>9593.8920743037706</v>
      </c>
      <c r="K16" s="12"/>
      <c r="L16" s="12"/>
      <c r="M16" s="13"/>
      <c r="N16" s="17"/>
      <c r="O16" s="12"/>
      <c r="P16" s="26"/>
      <c r="Q16" s="17">
        <f t="shared" si="1"/>
        <v>3600.2336847855731</v>
      </c>
      <c r="R16" s="28"/>
      <c r="S16" s="17">
        <f>Q16-R16</f>
        <v>3600.2336847855731</v>
      </c>
      <c r="T16" s="8">
        <v>5401.4320347899093</v>
      </c>
      <c r="U16" s="17">
        <f t="shared" si="2"/>
        <v>9001.6657195754815</v>
      </c>
      <c r="V16" s="8">
        <f>T16+Y16</f>
        <v>11037.176210700174</v>
      </c>
      <c r="X16">
        <f>S16*(1+Factor_8060)</f>
        <v>4504.441810140991</v>
      </c>
      <c r="Y16">
        <f>X16*(1+Factor_8060)</f>
        <v>5635.7441759102649</v>
      </c>
    </row>
    <row r="17" spans="1:25" x14ac:dyDescent="0.25">
      <c r="B17" s="13"/>
      <c r="C17" s="13"/>
      <c r="D17" s="13"/>
      <c r="E17" s="13"/>
      <c r="F17" s="13"/>
      <c r="G17" s="1"/>
      <c r="H17" s="1"/>
      <c r="I17" s="4"/>
      <c r="J17" s="8"/>
      <c r="K17" s="8"/>
      <c r="L17" s="8"/>
      <c r="M17" s="8"/>
      <c r="N17" s="8"/>
      <c r="O17" s="7"/>
      <c r="Q17" s="17"/>
      <c r="R17" s="28"/>
      <c r="S17" s="17"/>
      <c r="T17" s="8"/>
      <c r="U17" s="8"/>
    </row>
    <row r="18" spans="1:25" x14ac:dyDescent="0.25">
      <c r="A18" s="17">
        <v>2694.0110115204002</v>
      </c>
      <c r="B18" s="13">
        <v>2748.472493686073</v>
      </c>
      <c r="C18" s="13">
        <v>2706</v>
      </c>
      <c r="D18" s="13">
        <v>12000</v>
      </c>
      <c r="E18" s="13">
        <v>20232.37</v>
      </c>
      <c r="F18" s="13">
        <v>9703.8438238911494</v>
      </c>
      <c r="G18" s="5" t="s">
        <v>13</v>
      </c>
      <c r="H18" s="1">
        <v>28.5</v>
      </c>
      <c r="I18" s="1">
        <v>-0.36</v>
      </c>
      <c r="J18" s="17">
        <v>7009.8289884795995</v>
      </c>
      <c r="K18" s="25"/>
      <c r="L18" s="17"/>
      <c r="M18" s="17"/>
      <c r="N18" s="17"/>
      <c r="O18" s="7"/>
      <c r="P18" s="26"/>
      <c r="Q18" s="17">
        <f t="shared" si="1"/>
        <v>2748.472493686073</v>
      </c>
      <c r="R18" s="28"/>
      <c r="S18" s="17">
        <f t="shared" ref="S18:S21" si="3">Q18-R18</f>
        <v>2748.472493686073</v>
      </c>
      <c r="T18" s="8">
        <v>5401.4320347899093</v>
      </c>
      <c r="U18" s="17">
        <f t="shared" si="2"/>
        <v>8149.9045284759823</v>
      </c>
      <c r="V18" s="8">
        <f>T18+Y18</f>
        <v>9703.8438238911494</v>
      </c>
      <c r="X18">
        <f>S18*(1+Factor_8060)</f>
        <v>3438.7585636179001</v>
      </c>
      <c r="Y18">
        <f>X18*(1+Factor_8060)</f>
        <v>4302.4117891012402</v>
      </c>
    </row>
    <row r="19" spans="1:25" x14ac:dyDescent="0.25">
      <c r="A19" s="12">
        <v>2752.5175798721998</v>
      </c>
      <c r="B19" s="13">
        <v>2768.791734842498</v>
      </c>
      <c r="C19" s="13">
        <v>2706</v>
      </c>
      <c r="D19" s="13">
        <v>12000</v>
      </c>
      <c r="E19" s="13">
        <v>20232.37</v>
      </c>
      <c r="F19" s="13">
        <v>9735.6512161418723</v>
      </c>
      <c r="G19" s="1" t="s">
        <v>2</v>
      </c>
      <c r="H19" s="1">
        <v>28.5</v>
      </c>
      <c r="I19" s="46">
        <v>-0.36</v>
      </c>
      <c r="J19" s="17">
        <v>6983.1324201278003</v>
      </c>
      <c r="K19" s="25"/>
      <c r="L19" s="17"/>
      <c r="M19" s="30"/>
      <c r="N19" s="17"/>
      <c r="O19" s="7"/>
      <c r="P19" s="26"/>
      <c r="Q19" s="17">
        <f t="shared" si="1"/>
        <v>2768.791734842498</v>
      </c>
      <c r="R19" s="28"/>
      <c r="S19" s="17">
        <f t="shared" si="3"/>
        <v>2768.791734842498</v>
      </c>
      <c r="T19" s="8">
        <v>5401.4320347899093</v>
      </c>
      <c r="U19" s="17">
        <f t="shared" si="2"/>
        <v>8170.2237696324073</v>
      </c>
      <c r="V19" s="8">
        <f>T19+Y19</f>
        <v>9735.6512161418723</v>
      </c>
      <c r="X19">
        <f>S19*(1+Factor_8060)</f>
        <v>3464.1810354430281</v>
      </c>
      <c r="Y19">
        <f>X19*(1+Factor_8060)</f>
        <v>4334.2191813519621</v>
      </c>
    </row>
    <row r="20" spans="1:25" x14ac:dyDescent="0.25">
      <c r="A20" s="12">
        <v>2690.59033922045</v>
      </c>
      <c r="B20" s="13">
        <v>2741.957412058654</v>
      </c>
      <c r="C20" s="13">
        <v>2706</v>
      </c>
      <c r="D20" s="13">
        <v>12000</v>
      </c>
      <c r="E20" s="13">
        <v>20232.37</v>
      </c>
      <c r="F20" s="13">
        <v>9693.6452266466222</v>
      </c>
      <c r="G20" s="1" t="s">
        <v>3</v>
      </c>
      <c r="H20" s="1">
        <v>28.5</v>
      </c>
      <c r="I20" s="1">
        <v>-0.36</v>
      </c>
      <c r="J20" s="17">
        <v>7003.0596607795496</v>
      </c>
      <c r="K20" s="25"/>
      <c r="L20" s="17"/>
      <c r="M20" s="17"/>
      <c r="N20" s="17"/>
      <c r="O20" s="7"/>
      <c r="P20" s="26"/>
      <c r="Q20" s="17">
        <f t="shared" si="1"/>
        <v>2741.957412058654</v>
      </c>
      <c r="R20" s="28"/>
      <c r="S20" s="17">
        <f t="shared" si="3"/>
        <v>2741.957412058654</v>
      </c>
      <c r="T20" s="8">
        <v>5401.4320347899093</v>
      </c>
      <c r="U20" s="17">
        <f t="shared" si="2"/>
        <v>8143.3894468485632</v>
      </c>
      <c r="V20" s="8">
        <f>T20+Y20</f>
        <v>9693.6452266466222</v>
      </c>
      <c r="X20">
        <f>S20*(1+Factor_8060)</f>
        <v>3430.6072021651571</v>
      </c>
      <c r="Y20">
        <f>X20*(1+Factor_8060)</f>
        <v>4292.2131918567129</v>
      </c>
    </row>
    <row r="21" spans="1:25" x14ac:dyDescent="0.25">
      <c r="A21" s="12">
        <v>2750.69325374347</v>
      </c>
      <c r="B21" s="13">
        <v>2766.5397699110372</v>
      </c>
      <c r="C21" s="13">
        <v>2706</v>
      </c>
      <c r="D21" s="13">
        <v>12000</v>
      </c>
      <c r="E21" s="13">
        <v>20232.37</v>
      </c>
      <c r="F21" s="13">
        <v>9732.1260287907098</v>
      </c>
      <c r="G21" s="1" t="s">
        <v>4</v>
      </c>
      <c r="H21" s="1">
        <v>28.5</v>
      </c>
      <c r="I21" s="46">
        <v>-0.36</v>
      </c>
      <c r="J21" s="17">
        <v>6981.4367462565206</v>
      </c>
      <c r="K21" s="25"/>
      <c r="L21" s="17"/>
      <c r="M21" s="30"/>
      <c r="N21" s="17"/>
      <c r="O21" s="7"/>
      <c r="P21" s="26"/>
      <c r="Q21" s="17">
        <f t="shared" si="1"/>
        <v>2766.5397699110372</v>
      </c>
      <c r="R21" s="28"/>
      <c r="S21" s="17">
        <f t="shared" si="3"/>
        <v>2766.5397699110372</v>
      </c>
      <c r="T21" s="8">
        <v>5401.4320347899093</v>
      </c>
      <c r="U21" s="17">
        <f t="shared" si="2"/>
        <v>8167.9718047009464</v>
      </c>
      <c r="V21" s="8">
        <f>T21+Y21</f>
        <v>9732.1260287907098</v>
      </c>
      <c r="X21">
        <f>S21*(1+Factor_8060)</f>
        <v>3461.3634836171254</v>
      </c>
      <c r="Y21">
        <f>X21*(1+Factor_8060)</f>
        <v>4330.6939940007996</v>
      </c>
    </row>
    <row r="22" spans="1:25" x14ac:dyDescent="0.25">
      <c r="C22" s="13"/>
      <c r="D22" s="13"/>
      <c r="E22" s="13"/>
      <c r="F22" s="13"/>
      <c r="G22" s="1"/>
      <c r="H22" s="1"/>
      <c r="I22" s="1"/>
      <c r="J22" s="20"/>
      <c r="K22" s="20"/>
      <c r="M22" s="20"/>
      <c r="N22" s="23"/>
      <c r="O22" s="20" t="s">
        <v>49</v>
      </c>
      <c r="Q22" s="17"/>
      <c r="R22" s="8"/>
      <c r="S22" s="17"/>
      <c r="T22" s="8"/>
      <c r="U22" s="8"/>
    </row>
    <row r="23" spans="1:25" s="12" customFormat="1" x14ac:dyDescent="0.25">
      <c r="A23" s="17">
        <v>3731.0357805715898</v>
      </c>
      <c r="B23" s="13">
        <v>3635.3666209317707</v>
      </c>
      <c r="C23" s="13">
        <v>2706</v>
      </c>
      <c r="D23" s="13">
        <v>12000</v>
      </c>
      <c r="E23" s="13">
        <v>20232.37</v>
      </c>
      <c r="F23" s="45">
        <v>14256.14390266328</v>
      </c>
      <c r="G23" s="1" t="s">
        <v>13</v>
      </c>
      <c r="H23" s="1">
        <v>51.2</v>
      </c>
      <c r="I23" s="4">
        <v>-0.64</v>
      </c>
      <c r="J23" s="17">
        <v>10525.104219428409</v>
      </c>
      <c r="K23" s="12">
        <v>1324</v>
      </c>
      <c r="L23" s="17">
        <v>203.97227200232001</v>
      </c>
      <c r="M23" s="17">
        <v>2.77631067579946E-2</v>
      </c>
      <c r="N23" s="17">
        <v>2.0485977407346201E-2</v>
      </c>
      <c r="O23" s="12" t="s">
        <v>105</v>
      </c>
      <c r="P23" s="26"/>
      <c r="Q23" s="33">
        <f t="shared" ref="Q23:Q31" si="4">B23</f>
        <v>3635.3666209317707</v>
      </c>
      <c r="R23" s="33">
        <f>A13</f>
        <v>1514.54128151186</v>
      </c>
      <c r="S23" s="33">
        <f>Q23-R23</f>
        <v>2120.825339419911</v>
      </c>
      <c r="T23" s="33">
        <f>F13</f>
        <v>11092.172707484619</v>
      </c>
      <c r="U23" s="33">
        <f t="shared" ref="U23:U31" si="5">S23+T23</f>
        <v>13212.998046904529</v>
      </c>
      <c r="V23" s="33">
        <f>T23+Y23</f>
        <v>14256.14390266328</v>
      </c>
      <c r="W23" s="33"/>
      <c r="X23" s="31">
        <f t="shared" ref="X23:X41" si="6">S23*(1+Factor8061)</f>
        <v>2590.411219078856</v>
      </c>
      <c r="Y23" s="32">
        <f t="shared" ref="Y23:Y41" si="7">X23*(1+Factor8061)</f>
        <v>3163.9711951786612</v>
      </c>
    </row>
    <row r="24" spans="1:25" s="12" customFormat="1" x14ac:dyDescent="0.25">
      <c r="A24" s="17">
        <v>3684.0944976237502</v>
      </c>
      <c r="B24" s="13">
        <v>3623.9820588548901</v>
      </c>
      <c r="C24" s="13">
        <v>2706</v>
      </c>
      <c r="D24" s="13">
        <v>12000</v>
      </c>
      <c r="E24" s="13">
        <v>20232.37</v>
      </c>
      <c r="F24" s="45">
        <v>14251.132701282142</v>
      </c>
      <c r="G24" s="1" t="s">
        <v>2</v>
      </c>
      <c r="H24" s="1">
        <v>51.2</v>
      </c>
      <c r="I24" s="4">
        <v>-0.64</v>
      </c>
      <c r="J24" s="17">
        <v>10567.035502376249</v>
      </c>
      <c r="K24" s="12">
        <v>1276</v>
      </c>
      <c r="L24" s="17">
        <v>200.75820043590599</v>
      </c>
      <c r="M24" s="17">
        <v>4.9987102130118699E-2</v>
      </c>
      <c r="N24" s="17">
        <v>4.4706797999626298E-2</v>
      </c>
      <c r="O24" s="12" t="s">
        <v>106</v>
      </c>
      <c r="P24" s="26"/>
      <c r="Q24" s="33">
        <f t="shared" si="4"/>
        <v>3623.9820588548901</v>
      </c>
      <c r="R24" s="33">
        <f>A14</f>
        <v>1494.57011577303</v>
      </c>
      <c r="S24" s="33">
        <f>Q24-R24</f>
        <v>2129.41194308186</v>
      </c>
      <c r="T24" s="33">
        <f t="shared" ref="T24:T31" si="8">F14</f>
        <v>11074.351508907646</v>
      </c>
      <c r="U24" s="33">
        <f t="shared" si="5"/>
        <v>13203.763451989507</v>
      </c>
      <c r="V24" s="33">
        <f>T24+Y24</f>
        <v>14251.132701282142</v>
      </c>
      <c r="W24" s="33"/>
      <c r="X24" s="31">
        <f t="shared" si="6"/>
        <v>2600.8990391016878</v>
      </c>
      <c r="Y24" s="32">
        <f t="shared" si="7"/>
        <v>3176.7811923744953</v>
      </c>
    </row>
    <row r="25" spans="1:25" s="12" customFormat="1" x14ac:dyDescent="0.25">
      <c r="A25" s="12">
        <v>3664.7704032097499</v>
      </c>
      <c r="B25" s="13">
        <v>3605.8582209040378</v>
      </c>
      <c r="C25" s="13">
        <v>2706</v>
      </c>
      <c r="D25" s="13">
        <v>12000</v>
      </c>
      <c r="E25" s="13">
        <v>20232.37</v>
      </c>
      <c r="F25" s="45">
        <v>14210.943106748455</v>
      </c>
      <c r="G25" s="1" t="s">
        <v>3</v>
      </c>
      <c r="H25" s="1">
        <v>51.2</v>
      </c>
      <c r="I25" s="4">
        <v>-0.64</v>
      </c>
      <c r="J25" s="17">
        <v>10546.169596790251</v>
      </c>
      <c r="K25" s="12">
        <v>1293</v>
      </c>
      <c r="L25" s="17">
        <v>203.60174127835799</v>
      </c>
      <c r="M25" s="17">
        <v>4.6006914963305501E-2</v>
      </c>
      <c r="N25" s="17">
        <v>2.44434423741814E-2</v>
      </c>
      <c r="O25" s="12" t="s">
        <v>107</v>
      </c>
      <c r="P25" s="26"/>
      <c r="Q25" s="33">
        <f t="shared" si="4"/>
        <v>3605.8582209040378</v>
      </c>
      <c r="R25" s="33">
        <f>A15</f>
        <v>1484.3685099268</v>
      </c>
      <c r="S25" s="33">
        <f>Q25-R25</f>
        <v>2121.4897109772378</v>
      </c>
      <c r="T25" s="33">
        <f t="shared" si="8"/>
        <v>11045.980763250691</v>
      </c>
      <c r="U25" s="33">
        <f t="shared" si="5"/>
        <v>13167.470474227928</v>
      </c>
      <c r="V25" s="33">
        <f>T25+Y25</f>
        <v>14210.943106748455</v>
      </c>
      <c r="W25" s="33"/>
      <c r="X25" s="31">
        <f t="shared" si="6"/>
        <v>2591.2226935099411</v>
      </c>
      <c r="Y25" s="32">
        <f t="shared" si="7"/>
        <v>3164.9623434977648</v>
      </c>
    </row>
    <row r="26" spans="1:25" s="12" customFormat="1" x14ac:dyDescent="0.25">
      <c r="A26" s="17">
        <v>3693.4138202573299</v>
      </c>
      <c r="B26" s="13">
        <v>3600.2336847855731</v>
      </c>
      <c r="C26" s="13">
        <v>2706</v>
      </c>
      <c r="D26" s="13">
        <v>12000</v>
      </c>
      <c r="E26" s="13">
        <v>20232.37</v>
      </c>
      <c r="F26" s="45">
        <v>14255.033959037006</v>
      </c>
      <c r="G26" s="1" t="s">
        <v>4</v>
      </c>
      <c r="H26" s="1">
        <v>51.2</v>
      </c>
      <c r="I26" s="4">
        <v>-0.64</v>
      </c>
      <c r="J26" s="12">
        <v>10561.61617974267</v>
      </c>
      <c r="K26" s="12">
        <v>1271</v>
      </c>
      <c r="L26" s="17">
        <v>200.52150068983599</v>
      </c>
      <c r="M26" s="17">
        <v>4.6444930336189502E-2</v>
      </c>
      <c r="N26" s="17">
        <v>3.3996042579184899E-2</v>
      </c>
      <c r="O26" s="12" t="s">
        <v>108</v>
      </c>
      <c r="P26" s="26"/>
      <c r="Q26" s="33">
        <f t="shared" si="4"/>
        <v>3600.2336847855731</v>
      </c>
      <c r="R26" s="33">
        <f>A16</f>
        <v>1443.2879256962301</v>
      </c>
      <c r="S26" s="33">
        <f>Q26-R26</f>
        <v>2156.945759089343</v>
      </c>
      <c r="T26" s="33">
        <f t="shared" si="8"/>
        <v>11037.176210700174</v>
      </c>
      <c r="U26" s="33">
        <f t="shared" si="5"/>
        <v>13194.121969789518</v>
      </c>
      <c r="V26" s="33">
        <f>T26+Y26</f>
        <v>14255.033959037006</v>
      </c>
      <c r="W26" s="33"/>
      <c r="X26" s="31">
        <f t="shared" si="6"/>
        <v>2634.5292983050908</v>
      </c>
      <c r="Y26" s="32">
        <f t="shared" si="7"/>
        <v>3217.8577483368326</v>
      </c>
    </row>
    <row r="27" spans="1:25" x14ac:dyDescent="0.25">
      <c r="B27" s="13"/>
      <c r="C27" s="13"/>
      <c r="D27" s="13"/>
      <c r="E27" s="13"/>
      <c r="F27" s="13"/>
      <c r="G27" s="1"/>
      <c r="H27" s="1"/>
      <c r="I27" s="4"/>
      <c r="J27" s="8"/>
      <c r="K27" s="8"/>
      <c r="L27" s="8"/>
      <c r="M27" s="8"/>
      <c r="N27" s="8"/>
      <c r="Q27" s="33"/>
      <c r="R27" s="34"/>
      <c r="S27" s="33"/>
      <c r="T27" s="34"/>
      <c r="U27" s="33"/>
      <c r="V27" s="34"/>
      <c r="W27" s="34"/>
      <c r="X27" s="31">
        <f t="shared" si="6"/>
        <v>0</v>
      </c>
      <c r="Y27" s="32">
        <f t="shared" si="7"/>
        <v>0</v>
      </c>
    </row>
    <row r="28" spans="1:25" x14ac:dyDescent="0.25">
      <c r="A28" s="17">
        <v>2745.4903762334002</v>
      </c>
      <c r="B28" s="13">
        <v>2748.472493686073</v>
      </c>
      <c r="C28" s="13">
        <v>2706</v>
      </c>
      <c r="D28" s="13">
        <v>12000</v>
      </c>
      <c r="E28" s="13">
        <v>20232.37</v>
      </c>
      <c r="F28" s="45">
        <v>9770.3639808260014</v>
      </c>
      <c r="G28" s="5" t="s">
        <v>13</v>
      </c>
      <c r="H28" s="1">
        <v>28.5</v>
      </c>
      <c r="I28" s="1">
        <v>-0.36</v>
      </c>
      <c r="J28" s="13">
        <v>7024.8696237666009</v>
      </c>
      <c r="K28" s="14">
        <v>924</v>
      </c>
      <c r="L28" s="13">
        <v>136.039403650705</v>
      </c>
      <c r="M28" s="13">
        <v>3.00503907157471E-2</v>
      </c>
      <c r="N28" s="17">
        <v>4.8665705314653203E-2</v>
      </c>
      <c r="O28" s="6" t="s">
        <v>116</v>
      </c>
      <c r="P28" s="7"/>
      <c r="Q28" s="33">
        <f t="shared" si="4"/>
        <v>2748.472493686073</v>
      </c>
      <c r="R28" s="34">
        <f>A18</f>
        <v>2694.0110115204002</v>
      </c>
      <c r="S28" s="33">
        <f t="shared" ref="S28:S31" si="9">Q28-R28</f>
        <v>54.461482165672805</v>
      </c>
      <c r="T28" s="34">
        <f t="shared" si="8"/>
        <v>9703.8438238911494</v>
      </c>
      <c r="U28" s="33">
        <f t="shared" si="5"/>
        <v>9758.3053060568218</v>
      </c>
      <c r="V28" s="34">
        <f>T28+X28</f>
        <v>9770.3639808260014</v>
      </c>
      <c r="W28" s="34"/>
      <c r="X28" s="31">
        <f t="shared" si="6"/>
        <v>66.520156934851357</v>
      </c>
      <c r="Y28" s="32">
        <f t="shared" si="7"/>
        <v>81.248822152444049</v>
      </c>
    </row>
    <row r="29" spans="1:25" x14ac:dyDescent="0.25">
      <c r="A29" s="17">
        <v>2771.60939410419</v>
      </c>
      <c r="B29" s="13">
        <v>2768.791734842498</v>
      </c>
      <c r="C29" s="13">
        <v>2706</v>
      </c>
      <c r="D29" s="13">
        <v>12000</v>
      </c>
      <c r="E29" s="13">
        <v>20232.37</v>
      </c>
      <c r="F29" s="45">
        <v>9759.9299516863939</v>
      </c>
      <c r="G29" s="1" t="s">
        <v>2</v>
      </c>
      <c r="H29" s="1">
        <v>28.5</v>
      </c>
      <c r="I29" s="46">
        <v>-0.36</v>
      </c>
      <c r="J29" s="13">
        <v>6988.3206058958103</v>
      </c>
      <c r="K29" s="14">
        <v>891</v>
      </c>
      <c r="L29" s="13">
        <v>137.796577589641</v>
      </c>
      <c r="M29" s="30">
        <v>0.47616629872412602</v>
      </c>
      <c r="N29" s="17">
        <v>7.3895118167485896E-2</v>
      </c>
      <c r="O29" s="7" t="s">
        <v>117</v>
      </c>
      <c r="P29" s="7"/>
      <c r="Q29" s="33">
        <f t="shared" si="4"/>
        <v>2768.791734842498</v>
      </c>
      <c r="R29" s="34">
        <f t="shared" ref="R29:R31" si="10">A19</f>
        <v>2752.5175798721998</v>
      </c>
      <c r="S29" s="33">
        <f t="shared" si="9"/>
        <v>16.274154970298241</v>
      </c>
      <c r="T29" s="34">
        <f t="shared" si="8"/>
        <v>9735.6512161418723</v>
      </c>
      <c r="U29" s="33">
        <f t="shared" si="5"/>
        <v>9751.925371112171</v>
      </c>
      <c r="V29" s="34">
        <f>T29+Y29</f>
        <v>9759.9299516863939</v>
      </c>
      <c r="W29" s="34"/>
      <c r="X29" s="31">
        <f t="shared" si="6"/>
        <v>19.877522600526465</v>
      </c>
      <c r="Y29" s="32">
        <f t="shared" si="7"/>
        <v>24.278735544522068</v>
      </c>
    </row>
    <row r="30" spans="1:25" x14ac:dyDescent="0.25">
      <c r="A30" s="17">
        <v>2749.4110205728098</v>
      </c>
      <c r="B30" s="13">
        <v>2741.957412058654</v>
      </c>
      <c r="C30" s="13">
        <v>2706</v>
      </c>
      <c r="D30" s="13">
        <v>12000</v>
      </c>
      <c r="E30" s="13">
        <v>20232.37</v>
      </c>
      <c r="F30" s="45">
        <v>9770.2776281083916</v>
      </c>
      <c r="G30" s="1" t="s">
        <v>3</v>
      </c>
      <c r="H30" s="1">
        <v>28.5</v>
      </c>
      <c r="I30" s="1">
        <v>-0.36</v>
      </c>
      <c r="J30" s="13">
        <v>7020.8689794271904</v>
      </c>
      <c r="K30" s="14">
        <v>910</v>
      </c>
      <c r="L30" s="13">
        <v>136.02770082332401</v>
      </c>
      <c r="M30" s="13">
        <v>4.5357272143513198E-2</v>
      </c>
      <c r="N30" s="17">
        <v>5.2024631402059603E-2</v>
      </c>
      <c r="O30" s="7" t="s">
        <v>118</v>
      </c>
      <c r="P30" s="7"/>
      <c r="Q30" s="33">
        <f t="shared" si="4"/>
        <v>2741.957412058654</v>
      </c>
      <c r="R30" s="34">
        <f t="shared" si="10"/>
        <v>2690.59033922045</v>
      </c>
      <c r="S30" s="33">
        <f t="shared" si="9"/>
        <v>51.367072838203967</v>
      </c>
      <c r="T30" s="34">
        <f t="shared" si="8"/>
        <v>9693.6452266466222</v>
      </c>
      <c r="U30" s="33">
        <f t="shared" si="5"/>
        <v>9745.0122994848261</v>
      </c>
      <c r="V30" s="34">
        <f>T30+Y30</f>
        <v>9770.2776281083916</v>
      </c>
      <c r="W30" s="34"/>
      <c r="X30" s="31">
        <f t="shared" si="6"/>
        <v>62.740594097069526</v>
      </c>
      <c r="Y30" s="32">
        <f t="shared" si="7"/>
        <v>76.632401461770144</v>
      </c>
    </row>
    <row r="31" spans="1:25" x14ac:dyDescent="0.25">
      <c r="A31" s="17">
        <v>2767.9429469747802</v>
      </c>
      <c r="B31" s="13">
        <v>2766.5397699110372</v>
      </c>
      <c r="C31" s="13">
        <v>2706</v>
      </c>
      <c r="D31" s="13">
        <v>12000</v>
      </c>
      <c r="E31" s="13">
        <v>20232.37</v>
      </c>
      <c r="F31" s="45">
        <v>9755.7667877755248</v>
      </c>
      <c r="G31" s="1" t="s">
        <v>4</v>
      </c>
      <c r="H31" s="1">
        <v>28.5</v>
      </c>
      <c r="I31" s="46">
        <v>-0.36</v>
      </c>
      <c r="J31" s="13">
        <v>6987.8270530252203</v>
      </c>
      <c r="K31" s="14">
        <v>889</v>
      </c>
      <c r="L31" s="13">
        <v>137.606881493684</v>
      </c>
      <c r="M31" s="30">
        <v>0.36122277486366999</v>
      </c>
      <c r="N31" s="17">
        <v>8.1519752989391195E-2</v>
      </c>
      <c r="O31" s="7" t="s">
        <v>119</v>
      </c>
      <c r="P31" s="7"/>
      <c r="Q31" s="33">
        <f t="shared" si="4"/>
        <v>2766.5397699110372</v>
      </c>
      <c r="R31" s="34">
        <f t="shared" si="10"/>
        <v>2750.69325374347</v>
      </c>
      <c r="S31" s="33">
        <f t="shared" si="9"/>
        <v>15.846516167567188</v>
      </c>
      <c r="T31" s="34">
        <f t="shared" si="8"/>
        <v>9732.1260287907098</v>
      </c>
      <c r="U31" s="33">
        <f t="shared" si="5"/>
        <v>9747.9725449582766</v>
      </c>
      <c r="V31" s="34">
        <f>T31+Y31</f>
        <v>9755.7667877755248</v>
      </c>
      <c r="W31" s="34"/>
      <c r="X31" s="31">
        <f t="shared" si="6"/>
        <v>19.355197479396516</v>
      </c>
      <c r="Y31" s="32">
        <f t="shared" si="7"/>
        <v>23.640758984815449</v>
      </c>
    </row>
    <row r="32" spans="1:25" x14ac:dyDescent="0.25">
      <c r="E32" s="13"/>
      <c r="G32" s="1"/>
      <c r="H32" s="1"/>
      <c r="I32" s="1"/>
      <c r="J32" s="20"/>
      <c r="K32" s="20"/>
      <c r="M32" s="20"/>
      <c r="N32" s="20"/>
      <c r="O32" s="20" t="s">
        <v>50</v>
      </c>
      <c r="Q32" s="17"/>
      <c r="R32" s="8"/>
      <c r="S32" s="17"/>
      <c r="T32" s="8"/>
      <c r="U32" s="8"/>
      <c r="W32" s="8"/>
      <c r="X32" s="31">
        <f t="shared" si="6"/>
        <v>0</v>
      </c>
      <c r="Y32" s="32">
        <f t="shared" si="7"/>
        <v>0</v>
      </c>
    </row>
    <row r="33" spans="1:25" s="12" customFormat="1" x14ac:dyDescent="0.25">
      <c r="A33" s="17"/>
      <c r="B33" s="13">
        <v>3635.3666209317707</v>
      </c>
      <c r="C33" s="13"/>
      <c r="D33" s="13"/>
      <c r="E33" s="13"/>
      <c r="F33" s="13"/>
      <c r="G33" s="5"/>
      <c r="H33" s="5"/>
      <c r="I33" s="24"/>
      <c r="J33" s="17"/>
      <c r="L33" s="17"/>
      <c r="M33" s="17"/>
      <c r="N33" s="17"/>
      <c r="P33" s="26"/>
      <c r="Q33" s="33">
        <f t="shared" ref="Q33:Q41" si="11">B33</f>
        <v>3635.3666209317707</v>
      </c>
      <c r="R33" s="33">
        <f>A23</f>
        <v>3731.0357805715898</v>
      </c>
      <c r="S33" s="33">
        <f>Q33-R33</f>
        <v>-95.6691596398191</v>
      </c>
      <c r="T33" s="33">
        <f>F23</f>
        <v>14256.14390266328</v>
      </c>
      <c r="U33" s="33">
        <f t="shared" ref="U33:U41" si="12">S33+T33</f>
        <v>14160.47474302346</v>
      </c>
      <c r="V33" s="33">
        <f>T33+Y33</f>
        <v>14113.419058829544</v>
      </c>
      <c r="W33" s="33"/>
      <c r="X33" s="31">
        <f t="shared" si="6"/>
        <v>-116.85189715746135</v>
      </c>
      <c r="Y33" s="32">
        <f t="shared" si="7"/>
        <v>-142.72484383373583</v>
      </c>
    </row>
    <row r="34" spans="1:25" s="12" customFormat="1" x14ac:dyDescent="0.25">
      <c r="A34" s="17"/>
      <c r="B34" s="13">
        <v>3623.9820588548901</v>
      </c>
      <c r="C34" s="13"/>
      <c r="D34" s="13"/>
      <c r="E34" s="13"/>
      <c r="F34" s="13"/>
      <c r="G34" s="5"/>
      <c r="H34" s="5"/>
      <c r="I34" s="24"/>
      <c r="J34" s="17"/>
      <c r="L34" s="17"/>
      <c r="M34" s="17"/>
      <c r="N34" s="17"/>
      <c r="P34" s="26"/>
      <c r="Q34" s="33">
        <f t="shared" si="11"/>
        <v>3623.9820588548901</v>
      </c>
      <c r="R34" s="33">
        <f>A24</f>
        <v>3684.0944976237502</v>
      </c>
      <c r="S34" s="33">
        <f>Q34-R34</f>
        <v>-60.112438768860102</v>
      </c>
      <c r="T34" s="33">
        <f t="shared" ref="T34:T41" si="13">F24</f>
        <v>14251.132701282142</v>
      </c>
      <c r="U34" s="33">
        <f t="shared" si="12"/>
        <v>14191.020262513282</v>
      </c>
      <c r="V34" s="33">
        <f>T34+Y34</f>
        <v>14161.453451793055</v>
      </c>
      <c r="W34" s="33"/>
      <c r="X34" s="31">
        <f t="shared" si="6"/>
        <v>-73.422328986147193</v>
      </c>
      <c r="Y34" s="32">
        <f t="shared" si="7"/>
        <v>-89.679249489086331</v>
      </c>
    </row>
    <row r="35" spans="1:25" s="12" customFormat="1" x14ac:dyDescent="0.25">
      <c r="B35" s="13">
        <v>3605.8582209040378</v>
      </c>
      <c r="C35" s="13"/>
      <c r="D35" s="13"/>
      <c r="E35" s="13"/>
      <c r="F35" s="13"/>
      <c r="G35" s="5"/>
      <c r="H35" s="5"/>
      <c r="I35" s="24"/>
      <c r="J35" s="17"/>
      <c r="L35" s="17"/>
      <c r="M35" s="17"/>
      <c r="N35" s="17"/>
      <c r="P35" s="26"/>
      <c r="Q35" s="33">
        <f t="shared" si="11"/>
        <v>3605.8582209040378</v>
      </c>
      <c r="R35" s="33">
        <f>A25</f>
        <v>3664.7704032097499</v>
      </c>
      <c r="S35" s="33">
        <f>Q35-R35</f>
        <v>-58.912182305712122</v>
      </c>
      <c r="T35" s="33">
        <f t="shared" si="13"/>
        <v>14210.943106748455</v>
      </c>
      <c r="U35" s="33">
        <f t="shared" si="12"/>
        <v>14152.030924442743</v>
      </c>
      <c r="V35" s="33">
        <f>T35+Y35</f>
        <v>14123.054470001323</v>
      </c>
      <c r="W35" s="33"/>
      <c r="X35" s="31">
        <f t="shared" si="6"/>
        <v>-71.956315849600614</v>
      </c>
      <c r="Y35" s="32">
        <f t="shared" si="7"/>
        <v>-87.888636747130903</v>
      </c>
    </row>
    <row r="36" spans="1:25" s="12" customFormat="1" x14ac:dyDescent="0.25">
      <c r="A36" s="17"/>
      <c r="B36" s="13">
        <v>3600.2336847855731</v>
      </c>
      <c r="C36" s="13"/>
      <c r="D36" s="13"/>
      <c r="E36" s="13"/>
      <c r="F36" s="13"/>
      <c r="G36" s="5"/>
      <c r="H36" s="5"/>
      <c r="I36" s="24"/>
      <c r="L36" s="17"/>
      <c r="M36" s="17"/>
      <c r="N36" s="17"/>
      <c r="P36" s="26"/>
      <c r="Q36" s="33">
        <f t="shared" si="11"/>
        <v>3600.2336847855731</v>
      </c>
      <c r="R36" s="33">
        <f>A26</f>
        <v>3693.4138202573299</v>
      </c>
      <c r="S36" s="33">
        <f>Q36-R36</f>
        <v>-93.180135471756785</v>
      </c>
      <c r="T36" s="33">
        <f t="shared" si="13"/>
        <v>14255.033959037006</v>
      </c>
      <c r="U36" s="33">
        <f t="shared" si="12"/>
        <v>14161.853823565249</v>
      </c>
      <c r="V36" s="33">
        <f>T36+Y36</f>
        <v>14116.022386930779</v>
      </c>
      <c r="W36" s="33"/>
      <c r="X36" s="31">
        <f t="shared" si="6"/>
        <v>-113.81176178673319</v>
      </c>
      <c r="Y36" s="32">
        <f t="shared" si="7"/>
        <v>-139.01157210622679</v>
      </c>
    </row>
    <row r="37" spans="1:25" x14ac:dyDescent="0.25">
      <c r="B37" s="13"/>
      <c r="C37" s="13"/>
      <c r="D37" s="13"/>
      <c r="E37" s="13"/>
      <c r="F37" s="13"/>
      <c r="G37" s="1"/>
      <c r="H37" s="1"/>
      <c r="I37" s="4"/>
      <c r="J37" s="8"/>
      <c r="K37" s="8"/>
      <c r="L37" s="8"/>
      <c r="M37" s="8"/>
      <c r="N37" s="8"/>
      <c r="Q37" s="33"/>
      <c r="R37" s="34"/>
      <c r="S37" s="33"/>
      <c r="T37" s="34"/>
      <c r="U37" s="33"/>
      <c r="V37" s="34"/>
      <c r="W37" s="34"/>
      <c r="X37" s="31">
        <f t="shared" si="6"/>
        <v>0</v>
      </c>
      <c r="Y37" s="32">
        <f t="shared" si="7"/>
        <v>0</v>
      </c>
    </row>
    <row r="38" spans="1:25" x14ac:dyDescent="0.25">
      <c r="A38" s="17"/>
      <c r="B38" s="13">
        <v>2748.472493686073</v>
      </c>
      <c r="C38" s="13"/>
      <c r="D38" s="13"/>
      <c r="E38" s="13"/>
      <c r="F38" s="13"/>
      <c r="G38" s="24"/>
      <c r="H38" s="24"/>
      <c r="I38" s="24"/>
      <c r="J38" s="13"/>
      <c r="K38" s="14"/>
      <c r="L38" s="13"/>
      <c r="M38" s="13"/>
      <c r="N38" s="17"/>
      <c r="O38" s="6"/>
      <c r="P38" s="7"/>
      <c r="Q38" s="33">
        <f t="shared" si="11"/>
        <v>2748.472493686073</v>
      </c>
      <c r="R38" s="34">
        <f>A28</f>
        <v>2745.4903762334002</v>
      </c>
      <c r="S38" s="33">
        <f t="shared" ref="S38:S41" si="14">Q38-R38</f>
        <v>2.98211745267281</v>
      </c>
      <c r="T38" s="34">
        <f t="shared" si="13"/>
        <v>9770.3639808260014</v>
      </c>
      <c r="U38" s="33">
        <f t="shared" si="12"/>
        <v>9773.3460982786746</v>
      </c>
      <c r="V38" s="34">
        <f>T38+X38</f>
        <v>9774.0063885068375</v>
      </c>
      <c r="W38" s="34"/>
      <c r="X38" s="31">
        <f t="shared" si="6"/>
        <v>3.6424076808359089</v>
      </c>
      <c r="Y38" s="32">
        <f t="shared" si="7"/>
        <v>4.4488971088383416</v>
      </c>
    </row>
    <row r="39" spans="1:25" x14ac:dyDescent="0.25">
      <c r="A39" s="17"/>
      <c r="B39" s="13">
        <v>2768.791734842498</v>
      </c>
      <c r="C39" s="13"/>
      <c r="D39" s="13"/>
      <c r="E39" s="13"/>
      <c r="F39" s="13"/>
      <c r="G39" s="24"/>
      <c r="H39" s="24"/>
      <c r="I39" s="29"/>
      <c r="J39" s="13"/>
      <c r="K39" s="14"/>
      <c r="L39" s="13"/>
      <c r="M39" s="30"/>
      <c r="N39" s="17"/>
      <c r="O39" s="7"/>
      <c r="P39" s="7"/>
      <c r="Q39" s="33">
        <f t="shared" si="11"/>
        <v>2768.791734842498</v>
      </c>
      <c r="R39" s="34">
        <f t="shared" ref="R39:R41" si="15">A29</f>
        <v>2771.60939410419</v>
      </c>
      <c r="S39" s="33">
        <f t="shared" si="14"/>
        <v>-2.8176592616919152</v>
      </c>
      <c r="T39" s="34">
        <f t="shared" si="13"/>
        <v>9759.9299516863939</v>
      </c>
      <c r="U39" s="33">
        <f t="shared" si="12"/>
        <v>9757.1122924247029</v>
      </c>
      <c r="V39" s="34">
        <f>T39+Y39</f>
        <v>9755.72640291879</v>
      </c>
      <c r="W39" s="34"/>
      <c r="X39" s="31">
        <f t="shared" si="6"/>
        <v>-3.4415357207230373</v>
      </c>
      <c r="Y39" s="32">
        <f t="shared" si="7"/>
        <v>-4.2035487676038539</v>
      </c>
    </row>
    <row r="40" spans="1:25" x14ac:dyDescent="0.25">
      <c r="A40" s="17"/>
      <c r="B40" s="13">
        <v>2741.957412058654</v>
      </c>
      <c r="C40" s="13"/>
      <c r="D40" s="13"/>
      <c r="E40" s="13"/>
      <c r="F40" s="13"/>
      <c r="G40" s="24"/>
      <c r="H40" s="24"/>
      <c r="I40" s="24"/>
      <c r="J40" s="13"/>
      <c r="K40" s="14"/>
      <c r="L40" s="13"/>
      <c r="M40" s="13"/>
      <c r="N40" s="17"/>
      <c r="O40" s="7"/>
      <c r="P40" s="7"/>
      <c r="Q40" s="33">
        <f t="shared" si="11"/>
        <v>2741.957412058654</v>
      </c>
      <c r="R40" s="34">
        <f t="shared" si="15"/>
        <v>2749.4110205728098</v>
      </c>
      <c r="S40" s="33">
        <f t="shared" si="14"/>
        <v>-7.4536085141558033</v>
      </c>
      <c r="T40" s="34">
        <f t="shared" si="13"/>
        <v>9770.2776281083916</v>
      </c>
      <c r="U40" s="33">
        <f t="shared" si="12"/>
        <v>9762.8240195942362</v>
      </c>
      <c r="V40" s="34">
        <f>T40+Y40</f>
        <v>9759.1578992931099</v>
      </c>
      <c r="W40" s="34"/>
      <c r="X40" s="31">
        <f t="shared" si="6"/>
        <v>-9.1039609716149386</v>
      </c>
      <c r="Y40" s="32">
        <f t="shared" si="7"/>
        <v>-11.119728815281796</v>
      </c>
    </row>
    <row r="41" spans="1:25" x14ac:dyDescent="0.25">
      <c r="A41" s="17"/>
      <c r="B41" s="13">
        <v>2766.5397699110372</v>
      </c>
      <c r="C41" s="13"/>
      <c r="D41" s="13"/>
      <c r="E41" s="13"/>
      <c r="F41" s="13"/>
      <c r="G41" s="24"/>
      <c r="H41" s="24"/>
      <c r="I41" s="29"/>
      <c r="J41" s="13"/>
      <c r="K41" s="14"/>
      <c r="L41" s="13"/>
      <c r="M41" s="30"/>
      <c r="N41" s="17"/>
      <c r="O41" s="7"/>
      <c r="P41" s="7"/>
      <c r="Q41" s="33">
        <f t="shared" si="11"/>
        <v>2766.5397699110372</v>
      </c>
      <c r="R41" s="34">
        <f t="shared" si="15"/>
        <v>2767.9429469747802</v>
      </c>
      <c r="S41" s="33">
        <f t="shared" si="14"/>
        <v>-1.4031770637429872</v>
      </c>
      <c r="T41" s="34">
        <f t="shared" si="13"/>
        <v>9755.7667877755248</v>
      </c>
      <c r="U41" s="33">
        <f t="shared" si="12"/>
        <v>9754.3636107117818</v>
      </c>
      <c r="V41" s="34">
        <f>T41+Y41</f>
        <v>9753.6734462216973</v>
      </c>
      <c r="W41" s="34"/>
      <c r="X41" s="31">
        <f t="shared" si="6"/>
        <v>-1.7138637212190961</v>
      </c>
      <c r="Y41" s="32">
        <f t="shared" si="7"/>
        <v>-2.0933415538275812</v>
      </c>
    </row>
    <row r="42" spans="1:25" x14ac:dyDescent="0.25">
      <c r="V42" s="8"/>
      <c r="W42" s="8"/>
    </row>
    <row r="43" spans="1:25" x14ac:dyDescent="0.25">
      <c r="V43" s="8"/>
      <c r="W43" s="8"/>
    </row>
    <row r="44" spans="1:25" x14ac:dyDescent="0.25">
      <c r="V44" s="8"/>
      <c r="W44" s="8"/>
    </row>
    <row r="45" spans="1:25" x14ac:dyDescent="0.25">
      <c r="V45" s="8"/>
      <c r="W45" s="8"/>
    </row>
    <row r="46" spans="1:25" x14ac:dyDescent="0.25">
      <c r="V46" s="8"/>
      <c r="W46" s="8"/>
    </row>
    <row r="47" spans="1:25" x14ac:dyDescent="0.25">
      <c r="V47" s="8"/>
      <c r="W47" s="8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33E6-D699-4DAC-8144-63A68337134F}">
  <dimension ref="A3:U33"/>
  <sheetViews>
    <sheetView workbookViewId="0">
      <selection activeCell="A20" sqref="A20:E22"/>
    </sheetView>
  </sheetViews>
  <sheetFormatPr defaultRowHeight="15" x14ac:dyDescent="0.25"/>
  <cols>
    <col min="1" max="1" width="12.140625" customWidth="1"/>
    <col min="16" max="16" width="12.5703125" customWidth="1"/>
  </cols>
  <sheetData>
    <row r="3" spans="1:21" x14ac:dyDescent="0.25">
      <c r="A3" s="2" t="s">
        <v>68</v>
      </c>
    </row>
    <row r="4" spans="1:21" x14ac:dyDescent="0.25">
      <c r="A4" s="2" t="s">
        <v>71</v>
      </c>
      <c r="B4" s="21" t="s">
        <v>69</v>
      </c>
      <c r="C4" s="21" t="s">
        <v>70</v>
      </c>
      <c r="Q4" s="8"/>
      <c r="R4" s="8"/>
      <c r="S4" s="8"/>
      <c r="T4" s="8"/>
    </row>
    <row r="5" spans="1:21" x14ac:dyDescent="0.25">
      <c r="A5" s="38" t="s">
        <v>72</v>
      </c>
      <c r="B5" s="8">
        <f>'32x8061 (12T)'!F28</f>
        <v>9770.3639808260014</v>
      </c>
      <c r="C5" s="8">
        <f>'32x8061 (12T)'!F23</f>
        <v>14256.14390266328</v>
      </c>
      <c r="Q5" s="8"/>
      <c r="S5" s="8"/>
      <c r="T5" s="8"/>
    </row>
    <row r="6" spans="1:21" x14ac:dyDescent="0.25">
      <c r="A6" s="38" t="s">
        <v>73</v>
      </c>
      <c r="B6" s="8">
        <f>'32x8061 (12T)'!F29</f>
        <v>9759.9299516863939</v>
      </c>
      <c r="C6" s="8">
        <f>'32x8061 (12T)'!F24</f>
        <v>14251.132701282142</v>
      </c>
      <c r="Q6" s="8"/>
      <c r="S6" s="8"/>
      <c r="T6" s="8"/>
    </row>
    <row r="7" spans="1:21" x14ac:dyDescent="0.25">
      <c r="A7" s="38" t="s">
        <v>74</v>
      </c>
      <c r="B7" s="8">
        <f>'32x8061 (12T)'!F30</f>
        <v>9770.2776281083916</v>
      </c>
      <c r="C7" s="8">
        <f>'32x8061 (12T)'!F25</f>
        <v>14210.943106748455</v>
      </c>
      <c r="Q7" s="8"/>
      <c r="R7" s="8"/>
      <c r="S7" s="8"/>
      <c r="T7" s="8"/>
    </row>
    <row r="8" spans="1:21" x14ac:dyDescent="0.25">
      <c r="A8" s="38" t="s">
        <v>75</v>
      </c>
      <c r="B8" s="8">
        <f>'32x8061 (12T)'!F31</f>
        <v>9755.7667877755248</v>
      </c>
      <c r="C8" s="8">
        <f>'32x8061 (12T)'!F26</f>
        <v>14255.033959037006</v>
      </c>
    </row>
    <row r="10" spans="1:21" x14ac:dyDescent="0.25">
      <c r="B10">
        <v>51.2</v>
      </c>
      <c r="C10">
        <v>51.2</v>
      </c>
      <c r="D10">
        <v>28.5</v>
      </c>
      <c r="E10">
        <v>28.5</v>
      </c>
      <c r="R10" s="38"/>
      <c r="S10" s="38"/>
      <c r="T10" s="38"/>
      <c r="U10" s="38"/>
    </row>
    <row r="11" spans="1:21" x14ac:dyDescent="0.25">
      <c r="B11" t="s">
        <v>124</v>
      </c>
      <c r="C11" t="s">
        <v>125</v>
      </c>
      <c r="D11" t="s">
        <v>126</v>
      </c>
      <c r="E11" t="s">
        <v>127</v>
      </c>
      <c r="R11" s="8"/>
      <c r="S11" s="8"/>
      <c r="T11" s="8"/>
      <c r="U11" s="8"/>
    </row>
    <row r="12" spans="1:21" x14ac:dyDescent="0.25">
      <c r="A12" s="38" t="s">
        <v>72</v>
      </c>
      <c r="B12" s="35">
        <f>'32x8061 (12T)'!J23</f>
        <v>10525.104219428409</v>
      </c>
      <c r="C12" s="35">
        <f>'32x8061 (12T)'!A23</f>
        <v>3731.0357805715898</v>
      </c>
      <c r="D12" s="35">
        <f>'32x8061 (12T)'!J28</f>
        <v>7024.8696237666009</v>
      </c>
      <c r="E12" s="35">
        <f>'32x8061 (12T)'!A28</f>
        <v>2745.4903762334002</v>
      </c>
      <c r="R12" s="8"/>
      <c r="S12" s="8"/>
      <c r="T12" s="8"/>
      <c r="U12" s="8"/>
    </row>
    <row r="13" spans="1:21" x14ac:dyDescent="0.25">
      <c r="A13" s="38" t="s">
        <v>73</v>
      </c>
      <c r="B13" s="35">
        <f>'32x8061 (12T)'!J24</f>
        <v>10567.035502376249</v>
      </c>
      <c r="C13" s="35">
        <f>'32x8061 (12T)'!A24</f>
        <v>3684.0944976237502</v>
      </c>
      <c r="D13" s="35">
        <f>'32x8061 (12T)'!J29</f>
        <v>6988.3206058958103</v>
      </c>
      <c r="E13" s="35">
        <f>'32x8061 (12T)'!J9</f>
        <v>2768.791734842498</v>
      </c>
      <c r="R13" s="8"/>
      <c r="S13" s="8"/>
      <c r="T13" s="8"/>
      <c r="U13" s="8"/>
    </row>
    <row r="14" spans="1:21" x14ac:dyDescent="0.25">
      <c r="A14" s="38" t="s">
        <v>74</v>
      </c>
      <c r="B14" s="35">
        <f>'32x8061 (12T)'!J25</f>
        <v>10546.169596790251</v>
      </c>
      <c r="C14" s="35">
        <f>'32x8061 (12T)'!A25</f>
        <v>3664.7704032097499</v>
      </c>
      <c r="D14" s="35">
        <f>'32x8061 (12T)'!J30</f>
        <v>7020.8689794271904</v>
      </c>
      <c r="E14" s="35">
        <f>'32x8061 (12T)'!J10</f>
        <v>2741.957412058654</v>
      </c>
      <c r="R14" s="8"/>
      <c r="S14" s="8"/>
      <c r="T14" s="8"/>
      <c r="U14" s="8"/>
    </row>
    <row r="15" spans="1:21" x14ac:dyDescent="0.25">
      <c r="A15" s="38" t="s">
        <v>75</v>
      </c>
      <c r="B15" s="35">
        <f>'32x8061 (12T)'!J26</f>
        <v>10561.61617974267</v>
      </c>
      <c r="C15" s="35">
        <f>'32x8061 (12T)'!A26</f>
        <v>3693.4138202573299</v>
      </c>
      <c r="D15" s="35">
        <f>'32x8061 (12T)'!J31</f>
        <v>6987.8270530252203</v>
      </c>
      <c r="E15" s="35">
        <f>'32x8061 (12T)'!J11</f>
        <v>2766.5397699110372</v>
      </c>
    </row>
    <row r="19" spans="1:5" x14ac:dyDescent="0.25">
      <c r="A19" s="2" t="s">
        <v>76</v>
      </c>
    </row>
    <row r="20" spans="1:5" x14ac:dyDescent="0.25">
      <c r="A20" s="72" t="s">
        <v>157</v>
      </c>
      <c r="B20" s="73">
        <v>28.5</v>
      </c>
      <c r="C20" s="73" t="s">
        <v>51</v>
      </c>
      <c r="D20" s="73">
        <v>51.2</v>
      </c>
      <c r="E20" s="73" t="s">
        <v>51</v>
      </c>
    </row>
    <row r="21" spans="1:5" ht="30" x14ac:dyDescent="0.25">
      <c r="B21" s="76" t="s">
        <v>159</v>
      </c>
      <c r="C21" s="76" t="s">
        <v>159</v>
      </c>
      <c r="D21" s="76" t="s">
        <v>159</v>
      </c>
      <c r="E21" s="76" t="s">
        <v>159</v>
      </c>
    </row>
    <row r="22" spans="1:5" x14ac:dyDescent="0.25">
      <c r="A22" s="75"/>
      <c r="B22" s="67" t="s">
        <v>160</v>
      </c>
      <c r="C22" s="67" t="s">
        <v>161</v>
      </c>
      <c r="D22" s="67" t="s">
        <v>162</v>
      </c>
      <c r="E22" s="67" t="s">
        <v>163</v>
      </c>
    </row>
    <row r="23" spans="1:5" x14ac:dyDescent="0.25">
      <c r="A23" s="72" t="s">
        <v>72</v>
      </c>
      <c r="B23" s="8">
        <f>'32x8061 (12T)'!L28</f>
        <v>136.039403650705</v>
      </c>
      <c r="C23" s="8">
        <f>'32x8061 (12T)'!L8</f>
        <v>58.013148138306804</v>
      </c>
      <c r="D23" s="8">
        <f>'32x8061 (12T)'!L23</f>
        <v>203.97227200232001</v>
      </c>
      <c r="E23" s="8">
        <f>'32x8061 (12T)'!L3</f>
        <v>72.109166937258095</v>
      </c>
    </row>
    <row r="24" spans="1:5" x14ac:dyDescent="0.25">
      <c r="A24" s="72" t="s">
        <v>73</v>
      </c>
      <c r="B24" s="8">
        <f>'32x8061 (12T)'!L29</f>
        <v>137.796577589641</v>
      </c>
      <c r="C24" s="8">
        <f>'32x8061 (12T)'!L9</f>
        <v>54.787956253880097</v>
      </c>
      <c r="D24" s="8">
        <f>'32x8061 (12T)'!L24</f>
        <v>200.75820043590599</v>
      </c>
      <c r="E24" s="8">
        <f>'32x8061 (12T)'!L4</f>
        <v>71.274233200427204</v>
      </c>
    </row>
    <row r="25" spans="1:5" x14ac:dyDescent="0.25">
      <c r="A25" s="72" t="s">
        <v>74</v>
      </c>
      <c r="B25" s="8">
        <f>'32x8061 (12T)'!L30</f>
        <v>136.02770082332401</v>
      </c>
      <c r="C25" s="8">
        <f>'32x8061 (12T)'!L10</f>
        <v>57.986810795282501</v>
      </c>
      <c r="D25" s="8">
        <f>'32x8061 (12T)'!L25</f>
        <v>203.60174127835799</v>
      </c>
      <c r="E25" s="8">
        <f>'32x8061 (12T)'!L5</f>
        <v>71.307111317313598</v>
      </c>
    </row>
    <row r="26" spans="1:5" x14ac:dyDescent="0.25">
      <c r="A26" s="72" t="s">
        <v>75</v>
      </c>
      <c r="B26" s="8">
        <f>'32x8061 (12T)'!L31</f>
        <v>137.606881493684</v>
      </c>
      <c r="C26" s="8">
        <f>'32x8061 (12T)'!L11</f>
        <v>54.687870921217801</v>
      </c>
      <c r="D26" s="8">
        <f>'32x8061 (12T)'!L26</f>
        <v>200.52150068983599</v>
      </c>
      <c r="E26" s="8">
        <f>'32x8061 (12T)'!L6</f>
        <v>70.771552530561095</v>
      </c>
    </row>
    <row r="27" spans="1:5" x14ac:dyDescent="0.25">
      <c r="A27" s="72"/>
      <c r="B27" s="8"/>
    </row>
    <row r="28" spans="1:5" x14ac:dyDescent="0.25">
      <c r="B28" t="s">
        <v>151</v>
      </c>
      <c r="C28" t="s">
        <v>152</v>
      </c>
    </row>
    <row r="29" spans="1:5" x14ac:dyDescent="0.25">
      <c r="A29" s="21" t="s">
        <v>71</v>
      </c>
      <c r="B29" t="s">
        <v>153</v>
      </c>
      <c r="C29" t="s">
        <v>153</v>
      </c>
    </row>
    <row r="30" spans="1:5" x14ac:dyDescent="0.25">
      <c r="A30" s="38" t="s">
        <v>72</v>
      </c>
      <c r="B30" s="35">
        <f>'32x8061 (12T)'!J3</f>
        <v>3635.3666209317707</v>
      </c>
      <c r="C30" s="35">
        <f>'32x8061 (12T)'!J8</f>
        <v>2748.472493686073</v>
      </c>
    </row>
    <row r="31" spans="1:5" x14ac:dyDescent="0.25">
      <c r="A31" s="38" t="s">
        <v>73</v>
      </c>
      <c r="B31" s="35">
        <f>'32x8061 (12T)'!J4</f>
        <v>3623.9820588548901</v>
      </c>
      <c r="C31" s="35">
        <f>'32x8061 (12T)'!J9</f>
        <v>2768.791734842498</v>
      </c>
    </row>
    <row r="32" spans="1:5" x14ac:dyDescent="0.25">
      <c r="A32" s="38" t="s">
        <v>74</v>
      </c>
      <c r="B32" s="35">
        <f>'32x8061 (12T)'!J5</f>
        <v>3605.8582209040378</v>
      </c>
      <c r="C32" s="35">
        <f>'32x8061 (12T)'!J10</f>
        <v>2741.957412058654</v>
      </c>
    </row>
    <row r="33" spans="1:3" x14ac:dyDescent="0.25">
      <c r="A33" s="38" t="s">
        <v>75</v>
      </c>
      <c r="B33" s="35">
        <f>'32x8061 (12T)'!J6</f>
        <v>3600.2336847855731</v>
      </c>
      <c r="C33" s="35">
        <f>'32x8061 (12T)'!J11</f>
        <v>2766.5397699110372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D3875-015B-42B7-8391-CAA27334696C}">
  <dimension ref="A1:X41"/>
  <sheetViews>
    <sheetView zoomScale="70" zoomScaleNormal="70" workbookViewId="0">
      <selection activeCell="E45" sqref="E45"/>
    </sheetView>
  </sheetViews>
  <sheetFormatPr defaultRowHeight="15" x14ac:dyDescent="0.25"/>
  <cols>
    <col min="1" max="2" width="10.42578125" customWidth="1"/>
    <col min="3" max="3" width="13.28515625" customWidth="1"/>
    <col min="4" max="4" width="13.85546875" customWidth="1"/>
    <col min="5" max="5" width="13.5703125" customWidth="1"/>
    <col min="6" max="6" width="25" customWidth="1"/>
    <col min="7" max="7" width="10.42578125" bestFit="1" customWidth="1"/>
    <col min="9" max="9" width="9.7109375" bestFit="1" customWidth="1"/>
    <col min="10" max="10" width="9.7109375" customWidth="1"/>
    <col min="11" max="13" width="11.140625" customWidth="1"/>
    <col min="14" max="14" width="68.42578125" customWidth="1"/>
    <col min="15" max="15" width="26.7109375" customWidth="1"/>
    <col min="16" max="16" width="13.42578125" bestFit="1" customWidth="1"/>
    <col min="17" max="17" width="12.7109375" bestFit="1" customWidth="1"/>
    <col min="18" max="18" width="13.7109375" customWidth="1"/>
    <col min="19" max="19" width="12.85546875" customWidth="1"/>
    <col min="20" max="20" width="13.140625" customWidth="1"/>
    <col min="21" max="21" width="11.42578125" customWidth="1"/>
  </cols>
  <sheetData>
    <row r="1" spans="1:24" ht="45" x14ac:dyDescent="0.25">
      <c r="A1" s="1" t="s">
        <v>47</v>
      </c>
      <c r="B1" s="21" t="s">
        <v>37</v>
      </c>
      <c r="C1" s="21" t="s">
        <v>22</v>
      </c>
      <c r="D1" s="21" t="s">
        <v>19</v>
      </c>
      <c r="E1" s="21" t="s">
        <v>36</v>
      </c>
      <c r="F1" s="5" t="s">
        <v>0</v>
      </c>
      <c r="G1" s="5" t="s">
        <v>1</v>
      </c>
      <c r="H1" s="5" t="s">
        <v>17</v>
      </c>
      <c r="I1" s="5" t="s">
        <v>14</v>
      </c>
      <c r="J1" s="5" t="s">
        <v>53</v>
      </c>
      <c r="K1" s="5" t="s">
        <v>15</v>
      </c>
      <c r="L1" s="5" t="s">
        <v>16</v>
      </c>
      <c r="M1" s="5" t="s">
        <v>18</v>
      </c>
      <c r="N1" s="5" t="s">
        <v>45</v>
      </c>
      <c r="O1" s="3" t="s">
        <v>20</v>
      </c>
      <c r="P1" s="1" t="s">
        <v>54</v>
      </c>
      <c r="Q1" s="1" t="s">
        <v>52</v>
      </c>
      <c r="R1" s="1" t="s">
        <v>46</v>
      </c>
      <c r="S1" s="1" t="s">
        <v>36</v>
      </c>
      <c r="T1" s="1" t="s">
        <v>55</v>
      </c>
      <c r="U1" s="1" t="s">
        <v>66</v>
      </c>
      <c r="V1" s="1" t="s">
        <v>65</v>
      </c>
      <c r="W1" s="1" t="s">
        <v>64</v>
      </c>
      <c r="X1" s="1" t="s">
        <v>67</v>
      </c>
    </row>
    <row r="2" spans="1:24" x14ac:dyDescent="0.25">
      <c r="C2" s="13"/>
      <c r="D2" s="13"/>
      <c r="E2" s="13"/>
      <c r="F2" s="5"/>
      <c r="G2" s="5"/>
      <c r="H2" s="5"/>
      <c r="I2" s="22"/>
      <c r="J2" s="22"/>
      <c r="K2" s="22" t="s">
        <v>51</v>
      </c>
      <c r="L2" s="22"/>
      <c r="M2" s="22"/>
      <c r="N2" s="6" t="s">
        <v>51</v>
      </c>
      <c r="O2" s="3"/>
      <c r="Q2" s="27"/>
      <c r="R2" s="27"/>
      <c r="S2" s="27"/>
      <c r="T2" s="27"/>
      <c r="V2">
        <v>1.02</v>
      </c>
    </row>
    <row r="3" spans="1:24" x14ac:dyDescent="0.25">
      <c r="B3" s="13">
        <f>I3</f>
        <v>7299.6946827327256</v>
      </c>
      <c r="C3" s="13">
        <v>0</v>
      </c>
      <c r="D3" s="13">
        <v>16256</v>
      </c>
      <c r="E3" s="13">
        <v>7171</v>
      </c>
      <c r="F3" s="1" t="s">
        <v>13</v>
      </c>
      <c r="G3" s="1">
        <v>51.2</v>
      </c>
      <c r="H3" s="4">
        <v>-0.64</v>
      </c>
      <c r="I3" s="17">
        <v>7299.6946827327256</v>
      </c>
      <c r="J3" s="35">
        <v>605</v>
      </c>
      <c r="K3" s="8">
        <v>89.210611971564504</v>
      </c>
      <c r="L3" s="8"/>
      <c r="M3" s="8"/>
      <c r="N3" s="6"/>
      <c r="O3" s="3"/>
      <c r="P3" s="17"/>
      <c r="Q3" s="28"/>
      <c r="R3" s="28"/>
      <c r="S3" s="28"/>
      <c r="T3" s="28"/>
    </row>
    <row r="4" spans="1:24" x14ac:dyDescent="0.25">
      <c r="B4" s="13">
        <f t="shared" ref="B4:B11" si="0">I4</f>
        <v>7289.8387218746548</v>
      </c>
      <c r="C4" s="13">
        <v>0</v>
      </c>
      <c r="D4" s="13">
        <v>16256</v>
      </c>
      <c r="E4" s="13">
        <v>7171</v>
      </c>
      <c r="F4" s="1" t="s">
        <v>2</v>
      </c>
      <c r="G4" s="1">
        <v>51.2</v>
      </c>
      <c r="H4" s="4">
        <v>-0.64</v>
      </c>
      <c r="I4" s="17">
        <v>7289.8387218746548</v>
      </c>
      <c r="J4" s="25">
        <v>597</v>
      </c>
      <c r="K4" s="8">
        <v>86.178402067136602</v>
      </c>
      <c r="L4" s="8"/>
      <c r="M4" s="8"/>
      <c r="N4" s="7"/>
      <c r="O4" s="3"/>
      <c r="P4" s="17"/>
      <c r="Q4" s="28"/>
      <c r="R4" s="28"/>
      <c r="S4" s="28"/>
      <c r="T4" s="28"/>
    </row>
    <row r="5" spans="1:24" x14ac:dyDescent="0.25">
      <c r="B5" s="13">
        <f t="shared" si="0"/>
        <v>7293.7383792587862</v>
      </c>
      <c r="C5" s="13">
        <v>0</v>
      </c>
      <c r="D5" s="13">
        <v>16256</v>
      </c>
      <c r="E5" s="13">
        <v>7171</v>
      </c>
      <c r="F5" s="1" t="s">
        <v>3</v>
      </c>
      <c r="G5" s="1">
        <v>51.2</v>
      </c>
      <c r="H5" s="4">
        <v>-0.64</v>
      </c>
      <c r="I5" s="17">
        <v>7293.7383792587862</v>
      </c>
      <c r="J5" s="25">
        <v>589</v>
      </c>
      <c r="K5" s="8">
        <v>88.985719980384602</v>
      </c>
      <c r="L5" s="8"/>
      <c r="M5" s="8"/>
      <c r="N5" s="7"/>
      <c r="O5" s="16"/>
      <c r="P5" s="17"/>
      <c r="Q5" s="28"/>
      <c r="R5" s="28"/>
      <c r="S5" s="28"/>
      <c r="T5" s="28"/>
    </row>
    <row r="6" spans="1:24" x14ac:dyDescent="0.25">
      <c r="B6" s="13">
        <f t="shared" si="0"/>
        <v>7290.089187578802</v>
      </c>
      <c r="C6" s="13">
        <v>0</v>
      </c>
      <c r="D6" s="13">
        <v>16256</v>
      </c>
      <c r="E6" s="13">
        <v>7171</v>
      </c>
      <c r="F6" s="1" t="s">
        <v>4</v>
      </c>
      <c r="G6" s="1">
        <v>51.2</v>
      </c>
      <c r="H6" s="4">
        <v>-0.64</v>
      </c>
      <c r="I6" s="17">
        <v>7290.089187578802</v>
      </c>
      <c r="J6" s="25">
        <v>568</v>
      </c>
      <c r="K6" s="8">
        <v>86.138110180854696</v>
      </c>
      <c r="L6" s="8"/>
      <c r="M6" s="8"/>
      <c r="N6" s="7"/>
      <c r="O6" s="16"/>
      <c r="P6" s="17"/>
      <c r="Q6" s="28"/>
      <c r="R6" s="28"/>
      <c r="S6" s="28"/>
      <c r="T6" s="28"/>
    </row>
    <row r="7" spans="1:24" x14ac:dyDescent="0.25">
      <c r="B7" s="13"/>
      <c r="C7" s="13"/>
      <c r="D7" s="13"/>
      <c r="E7" s="13"/>
      <c r="F7" s="1"/>
      <c r="G7" s="1"/>
      <c r="H7" s="4"/>
      <c r="I7" s="17"/>
      <c r="J7" s="17"/>
      <c r="K7" s="8"/>
      <c r="L7" s="8"/>
      <c r="M7" s="8"/>
      <c r="N7" s="7"/>
      <c r="O7" s="16"/>
      <c r="P7" s="17"/>
      <c r="Q7" s="27"/>
      <c r="R7" s="27"/>
      <c r="S7" s="27"/>
      <c r="T7" s="27"/>
    </row>
    <row r="8" spans="1:24" x14ac:dyDescent="0.25">
      <c r="B8" s="13">
        <f>I8</f>
        <v>5551.8459403411398</v>
      </c>
      <c r="C8" s="13">
        <v>0</v>
      </c>
      <c r="D8" s="13">
        <v>16256</v>
      </c>
      <c r="E8" s="13">
        <v>7171</v>
      </c>
      <c r="F8" s="5" t="s">
        <v>13</v>
      </c>
      <c r="G8" s="1">
        <v>28.5</v>
      </c>
      <c r="H8" s="1">
        <v>-0.36</v>
      </c>
      <c r="I8">
        <v>5551.8459403411398</v>
      </c>
      <c r="J8">
        <v>494</v>
      </c>
      <c r="K8" s="8">
        <v>70.739398160469094</v>
      </c>
      <c r="L8" s="8"/>
      <c r="M8" s="8"/>
      <c r="N8" s="7"/>
      <c r="O8" s="16"/>
      <c r="P8" s="17"/>
      <c r="Q8" s="28"/>
      <c r="R8" s="28"/>
      <c r="S8" s="28"/>
      <c r="T8" s="28"/>
    </row>
    <row r="9" spans="1:24" x14ac:dyDescent="0.25">
      <c r="B9" s="13">
        <f t="shared" si="0"/>
        <v>5593.67670063883</v>
      </c>
      <c r="C9" s="13">
        <v>0</v>
      </c>
      <c r="D9" s="13">
        <v>16256</v>
      </c>
      <c r="E9" s="13">
        <v>7171</v>
      </c>
      <c r="F9" s="1" t="s">
        <v>2</v>
      </c>
      <c r="G9" s="1">
        <v>28.5</v>
      </c>
      <c r="H9" s="1">
        <v>-0.36</v>
      </c>
      <c r="I9">
        <v>5593.67670063883</v>
      </c>
      <c r="J9">
        <v>443</v>
      </c>
      <c r="K9" s="8">
        <v>66.436798624185002</v>
      </c>
      <c r="L9" s="8"/>
      <c r="M9" s="8"/>
      <c r="O9" s="16"/>
      <c r="P9" s="17"/>
      <c r="Q9" s="28"/>
      <c r="R9" s="28"/>
      <c r="S9" s="28"/>
      <c r="T9" s="28"/>
    </row>
    <row r="10" spans="1:24" x14ac:dyDescent="0.25">
      <c r="B10" s="13">
        <f>I10</f>
        <v>5534.6619583761003</v>
      </c>
      <c r="C10" s="13">
        <v>0</v>
      </c>
      <c r="D10" s="13">
        <v>16256</v>
      </c>
      <c r="E10" s="13">
        <v>7171</v>
      </c>
      <c r="F10" s="1" t="s">
        <v>3</v>
      </c>
      <c r="G10" s="1">
        <v>28.5</v>
      </c>
      <c r="H10" s="1">
        <v>-0.36</v>
      </c>
      <c r="I10">
        <v>5534.6619583761003</v>
      </c>
      <c r="J10">
        <v>473</v>
      </c>
      <c r="K10" s="8">
        <v>70.627943704566803</v>
      </c>
      <c r="L10" s="8"/>
      <c r="M10" s="8"/>
      <c r="O10" s="16"/>
      <c r="P10" s="17"/>
      <c r="Q10" s="28"/>
      <c r="R10" s="28"/>
      <c r="S10" s="28"/>
      <c r="T10" s="28"/>
    </row>
    <row r="11" spans="1:24" x14ac:dyDescent="0.25">
      <c r="B11" s="13">
        <f t="shared" si="0"/>
        <v>5591.1349864959402</v>
      </c>
      <c r="C11" s="13">
        <v>0</v>
      </c>
      <c r="D11" s="13">
        <v>16256</v>
      </c>
      <c r="E11" s="13">
        <v>7171</v>
      </c>
      <c r="F11" s="1" t="s">
        <v>4</v>
      </c>
      <c r="G11" s="1">
        <v>28.5</v>
      </c>
      <c r="H11" s="1">
        <v>-0.36</v>
      </c>
      <c r="I11" s="11">
        <v>5591.1349864959402</v>
      </c>
      <c r="J11">
        <v>443</v>
      </c>
      <c r="K11" s="8">
        <v>66.3382106335157</v>
      </c>
      <c r="L11" s="8"/>
      <c r="M11" s="8"/>
      <c r="N11" s="7"/>
      <c r="O11" s="16"/>
      <c r="P11" s="17"/>
      <c r="Q11" s="28"/>
      <c r="R11" s="28"/>
      <c r="S11" s="28"/>
      <c r="T11" s="28"/>
    </row>
    <row r="12" spans="1:24" x14ac:dyDescent="0.25">
      <c r="C12" s="13"/>
      <c r="D12" s="13"/>
      <c r="E12" s="13"/>
      <c r="F12" s="1"/>
      <c r="G12" s="1"/>
      <c r="H12" s="1"/>
      <c r="I12" s="20"/>
      <c r="J12" s="20"/>
      <c r="L12" s="20"/>
      <c r="M12" s="20"/>
      <c r="N12" s="20" t="s">
        <v>48</v>
      </c>
      <c r="O12" s="16"/>
      <c r="Q12" s="11"/>
      <c r="R12" s="11"/>
      <c r="S12" s="11"/>
    </row>
    <row r="13" spans="1:24" x14ac:dyDescent="0.25">
      <c r="A13" s="12">
        <v>5665.1579984121399</v>
      </c>
      <c r="B13" s="13">
        <v>7299.6946827327256</v>
      </c>
      <c r="C13" s="13">
        <v>16000</v>
      </c>
      <c r="D13" s="13">
        <v>32256</v>
      </c>
      <c r="E13" s="13">
        <v>22799.817089120232</v>
      </c>
      <c r="F13" s="1" t="s">
        <v>13</v>
      </c>
      <c r="G13" s="1">
        <v>51.2</v>
      </c>
      <c r="H13" s="4">
        <v>-0.64</v>
      </c>
      <c r="I13" s="17">
        <v>17134.662001587858</v>
      </c>
      <c r="J13" s="12">
        <v>1318</v>
      </c>
      <c r="K13" s="17">
        <v>202.79196641470099</v>
      </c>
      <c r="L13" s="17">
        <v>3.8837694164262401E-2</v>
      </c>
      <c r="M13" s="17">
        <v>2.8875154750914199E-2</v>
      </c>
      <c r="N13" s="12"/>
      <c r="O13" s="26"/>
      <c r="P13" s="17">
        <f>B13</f>
        <v>7299.6946827327256</v>
      </c>
      <c r="Q13" s="28"/>
      <c r="R13" s="17">
        <f>P13-Q13</f>
        <v>7299.6946827327256</v>
      </c>
      <c r="S13" s="8">
        <v>11373</v>
      </c>
      <c r="T13" s="17">
        <f>IF(R13&gt;0,R13+S13,0)</f>
        <v>18672.694682732727</v>
      </c>
      <c r="U13" s="8">
        <f>S13+X13</f>
        <v>22799.817089120232</v>
      </c>
      <c r="W13">
        <f>R13*(1+Factor_8060)</f>
        <v>9133.032133197079</v>
      </c>
      <c r="X13">
        <f>W13*(1+Factor_8060)</f>
        <v>11426.81708912023</v>
      </c>
    </row>
    <row r="14" spans="1:24" x14ac:dyDescent="0.25">
      <c r="A14" s="12">
        <v>5622.5348600079396</v>
      </c>
      <c r="B14" s="13">
        <v>7289.8387218746548</v>
      </c>
      <c r="C14" s="13">
        <v>16000</v>
      </c>
      <c r="D14" s="13">
        <v>32256</v>
      </c>
      <c r="E14" s="13">
        <v>22784.388736722271</v>
      </c>
      <c r="F14" s="1" t="s">
        <v>2</v>
      </c>
      <c r="G14" s="1">
        <v>51.2</v>
      </c>
      <c r="H14" s="4">
        <v>-0.64</v>
      </c>
      <c r="I14" s="17">
        <v>17161.855139992062</v>
      </c>
      <c r="J14" s="12">
        <v>1254</v>
      </c>
      <c r="K14" s="17">
        <v>199.15792888452</v>
      </c>
      <c r="L14" s="17">
        <v>4.8408392786461002E-2</v>
      </c>
      <c r="M14" s="17">
        <v>5.2517147089151103E-2</v>
      </c>
      <c r="N14" s="12"/>
      <c r="O14" s="26"/>
      <c r="P14" s="17">
        <f>B14</f>
        <v>7289.8387218746548</v>
      </c>
      <c r="Q14" s="28"/>
      <c r="R14" s="17">
        <f>P14-Q14</f>
        <v>7289.8387218746548</v>
      </c>
      <c r="S14" s="8">
        <v>11373</v>
      </c>
      <c r="T14" s="17">
        <f t="shared" ref="T14:T21" si="1">IF(R14&gt;0,R14+S14,0)</f>
        <v>18662.838721874654</v>
      </c>
      <c r="U14" s="8">
        <f>S14+X14</f>
        <v>22784.388736722271</v>
      </c>
      <c r="W14">
        <f>R14*(1+Factor_8060)</f>
        <v>9120.7008219391955</v>
      </c>
      <c r="X14">
        <f>W14*(1+Factor_8060)</f>
        <v>11411.388736722272</v>
      </c>
    </row>
    <row r="15" spans="1:24" x14ac:dyDescent="0.25">
      <c r="A15" s="17">
        <v>5606.93590221459</v>
      </c>
      <c r="B15" s="13">
        <v>7293.7383792587862</v>
      </c>
      <c r="C15" s="13">
        <v>16000</v>
      </c>
      <c r="D15" s="13">
        <v>32256</v>
      </c>
      <c r="E15" s="13">
        <v>22790.493193631148</v>
      </c>
      <c r="F15" s="1" t="s">
        <v>3</v>
      </c>
      <c r="G15" s="1">
        <v>51.2</v>
      </c>
      <c r="H15" s="4">
        <v>-0.64</v>
      </c>
      <c r="I15" s="17">
        <v>17183.554097785411</v>
      </c>
      <c r="J15" s="12">
        <v>1288</v>
      </c>
      <c r="K15" s="17">
        <v>202.55616893653101</v>
      </c>
      <c r="L15" s="17">
        <v>4.56536969409123E-2</v>
      </c>
      <c r="M15" s="17">
        <v>2.0884588161270298E-2</v>
      </c>
      <c r="N15" s="12"/>
      <c r="O15" s="26"/>
      <c r="P15" s="17">
        <f>B15</f>
        <v>7293.7383792587862</v>
      </c>
      <c r="Q15" s="28"/>
      <c r="R15" s="17">
        <f>P15-Q15</f>
        <v>7293.7383792587862</v>
      </c>
      <c r="S15" s="8">
        <v>11373</v>
      </c>
      <c r="T15" s="17">
        <f t="shared" si="1"/>
        <v>18666.738379258786</v>
      </c>
      <c r="U15" s="8">
        <f>S15+X15</f>
        <v>22790.493193631148</v>
      </c>
      <c r="W15">
        <f>R15*(1+Factor_8060)</f>
        <v>9125.5798884954966</v>
      </c>
      <c r="X15">
        <f>W15*(1+Factor_8060)</f>
        <v>11417.49319363115</v>
      </c>
    </row>
    <row r="16" spans="1:24" x14ac:dyDescent="0.25">
      <c r="A16" s="12">
        <v>5579.9462304129202</v>
      </c>
      <c r="B16" s="13">
        <v>7290.089187578802</v>
      </c>
      <c r="C16" s="13">
        <v>16000</v>
      </c>
      <c r="D16" s="13">
        <v>32256</v>
      </c>
      <c r="E16" s="13">
        <v>22784.780811447694</v>
      </c>
      <c r="F16" s="1" t="s">
        <v>4</v>
      </c>
      <c r="G16" s="1">
        <v>51.2</v>
      </c>
      <c r="H16" s="4">
        <v>-0.64</v>
      </c>
      <c r="I16" s="17">
        <v>17204.83376958708</v>
      </c>
      <c r="J16" s="12">
        <v>1273</v>
      </c>
      <c r="K16" s="12">
        <v>199.48159525586701</v>
      </c>
      <c r="L16" s="13">
        <v>4.68666991364311E-2</v>
      </c>
      <c r="M16" s="17">
        <v>3.6287472801301797E-2</v>
      </c>
      <c r="N16" s="12"/>
      <c r="O16" s="26"/>
      <c r="P16" s="17">
        <f>B16</f>
        <v>7290.089187578802</v>
      </c>
      <c r="Q16" s="28"/>
      <c r="R16" s="17">
        <f>P16-Q16</f>
        <v>7290.089187578802</v>
      </c>
      <c r="S16" s="8">
        <v>11373</v>
      </c>
      <c r="T16" s="17">
        <f t="shared" si="1"/>
        <v>18663.0891875788</v>
      </c>
      <c r="U16" s="8">
        <f>S16+X16</f>
        <v>22784.780811447694</v>
      </c>
      <c r="W16">
        <f>R16*(1+Factor_8060)</f>
        <v>9121.0141927613549</v>
      </c>
      <c r="X16">
        <f>W16*(1+Factor_8060)</f>
        <v>11411.780811447692</v>
      </c>
    </row>
    <row r="17" spans="1:24" x14ac:dyDescent="0.25">
      <c r="B17" s="13"/>
      <c r="C17" s="13"/>
      <c r="D17" s="13"/>
      <c r="E17" s="13"/>
      <c r="F17" s="1"/>
      <c r="G17" s="1"/>
      <c r="H17" s="4"/>
      <c r="I17" s="17"/>
      <c r="J17" s="17"/>
      <c r="K17" s="17"/>
      <c r="L17" s="17"/>
      <c r="M17" s="17"/>
      <c r="N17" s="7"/>
      <c r="O17" s="16"/>
      <c r="P17" s="17"/>
      <c r="Q17" s="28"/>
      <c r="R17" s="17"/>
      <c r="S17" s="8"/>
      <c r="T17" s="8"/>
    </row>
    <row r="18" spans="1:24" x14ac:dyDescent="0.25">
      <c r="A18" s="17">
        <v>7553.7121720733803</v>
      </c>
      <c r="B18" s="13">
        <v>5551.8459403411398</v>
      </c>
      <c r="C18" s="13">
        <v>16000</v>
      </c>
      <c r="D18" s="13">
        <v>32256</v>
      </c>
      <c r="E18" s="13">
        <v>20063.764590102477</v>
      </c>
      <c r="F18" s="5" t="s">
        <v>13</v>
      </c>
      <c r="G18" s="1">
        <v>28.5</v>
      </c>
      <c r="H18" s="1">
        <v>-0.36</v>
      </c>
      <c r="I18" s="17">
        <v>12510.047827926617</v>
      </c>
      <c r="J18" s="25">
        <v>992</v>
      </c>
      <c r="K18" s="17">
        <v>146.858432786055</v>
      </c>
      <c r="L18" s="17">
        <v>4.7983545136281502E-2</v>
      </c>
      <c r="M18" s="17">
        <v>4.8578015016111697E-2</v>
      </c>
      <c r="N18" s="7"/>
      <c r="O18" s="26"/>
      <c r="P18" s="17">
        <f>B18</f>
        <v>5551.8459403411398</v>
      </c>
      <c r="Q18" s="28"/>
      <c r="R18" s="17">
        <f t="shared" ref="R18:R21" si="2">P18-Q18</f>
        <v>5551.8459403411398</v>
      </c>
      <c r="S18" s="8">
        <v>11373</v>
      </c>
      <c r="T18" s="17">
        <f t="shared" si="1"/>
        <v>16924.84594034114</v>
      </c>
      <c r="U18" s="8">
        <f>S18+X18</f>
        <v>20063.764590102477</v>
      </c>
      <c r="W18">
        <f>R18*(1+Factor_8060)</f>
        <v>6946.2065984262927</v>
      </c>
      <c r="X18">
        <f>W18*(1+Factor_8060)</f>
        <v>8690.7645901024771</v>
      </c>
    </row>
    <row r="19" spans="1:24" x14ac:dyDescent="0.25">
      <c r="A19" s="12">
        <v>7651.3446169587796</v>
      </c>
      <c r="B19" s="13">
        <v>5593.67670063883</v>
      </c>
      <c r="C19" s="13">
        <v>16000</v>
      </c>
      <c r="D19" s="13">
        <v>32256</v>
      </c>
      <c r="E19" s="13">
        <v>20129.245746150169</v>
      </c>
      <c r="F19" s="1" t="s">
        <v>2</v>
      </c>
      <c r="G19" s="1">
        <v>28.5</v>
      </c>
      <c r="H19" s="46">
        <v>-0.36</v>
      </c>
      <c r="I19" s="17">
        <v>12477.905383041219</v>
      </c>
      <c r="J19" s="25">
        <v>976</v>
      </c>
      <c r="K19" s="17">
        <v>150.34707516670801</v>
      </c>
      <c r="L19" s="30">
        <v>0.24663326753664799</v>
      </c>
      <c r="M19" s="17">
        <v>5.8069520779840601E-2</v>
      </c>
      <c r="N19" s="7"/>
      <c r="O19" s="26"/>
      <c r="P19" s="17">
        <f>B19</f>
        <v>5593.67670063883</v>
      </c>
      <c r="Q19" s="28"/>
      <c r="R19" s="17">
        <f t="shared" si="2"/>
        <v>5593.67670063883</v>
      </c>
      <c r="S19" s="8">
        <v>11373</v>
      </c>
      <c r="T19" s="17">
        <f t="shared" si="1"/>
        <v>16966.676700638829</v>
      </c>
      <c r="U19" s="8">
        <f>S19+X19</f>
        <v>20129.245746150169</v>
      </c>
      <c r="W19">
        <f>R19*(1+Factor_8060)</f>
        <v>6998.5432638019802</v>
      </c>
      <c r="X19">
        <f>W19*(1+Factor_8060)</f>
        <v>8756.2457461501708</v>
      </c>
    </row>
    <row r="20" spans="1:24" x14ac:dyDescent="0.25">
      <c r="A20" s="12">
        <v>7540.4682083347898</v>
      </c>
      <c r="B20" s="13">
        <v>5534.6619583761003</v>
      </c>
      <c r="C20" s="13">
        <v>16000</v>
      </c>
      <c r="D20" s="13">
        <v>32256</v>
      </c>
      <c r="E20" s="13">
        <v>20036.865078915835</v>
      </c>
      <c r="F20" s="1" t="s">
        <v>3</v>
      </c>
      <c r="G20" s="1">
        <v>28.5</v>
      </c>
      <c r="H20" s="1">
        <v>-0.36</v>
      </c>
      <c r="I20" s="17">
        <v>12496.401791665208</v>
      </c>
      <c r="J20" s="25">
        <v>977</v>
      </c>
      <c r="K20" s="17">
        <v>146.77261260913599</v>
      </c>
      <c r="L20" s="17">
        <v>4.7479524530623901E-2</v>
      </c>
      <c r="M20" s="17">
        <v>5.4414073192790402E-2</v>
      </c>
      <c r="N20" s="7"/>
      <c r="O20" s="26"/>
      <c r="P20" s="17">
        <f>B20</f>
        <v>5534.6619583761003</v>
      </c>
      <c r="Q20" s="28"/>
      <c r="R20" s="17">
        <f t="shared" si="2"/>
        <v>5534.6619583761003</v>
      </c>
      <c r="S20" s="8">
        <v>11373</v>
      </c>
      <c r="T20" s="17">
        <f t="shared" si="1"/>
        <v>16907.661958376098</v>
      </c>
      <c r="U20" s="8">
        <f>S20+X20</f>
        <v>20036.865078915835</v>
      </c>
      <c r="W20">
        <f>R20*(1+Factor_8060)</f>
        <v>6924.7068143552924</v>
      </c>
      <c r="X20">
        <f>W20*(1+Factor_8060)</f>
        <v>8663.8650789158346</v>
      </c>
    </row>
    <row r="21" spans="1:24" x14ac:dyDescent="0.25">
      <c r="A21" s="12">
        <v>7657.1302420464599</v>
      </c>
      <c r="B21" s="13">
        <v>5591.1349864959402</v>
      </c>
      <c r="C21" s="13">
        <v>16000</v>
      </c>
      <c r="D21" s="13">
        <v>32256</v>
      </c>
      <c r="E21" s="13">
        <v>20125.266990343804</v>
      </c>
      <c r="F21" s="1" t="s">
        <v>4</v>
      </c>
      <c r="G21" s="1">
        <v>28.5</v>
      </c>
      <c r="H21" s="46">
        <v>-0.36</v>
      </c>
      <c r="I21" s="17">
        <v>12468.139757953541</v>
      </c>
      <c r="J21" s="25">
        <v>973</v>
      </c>
      <c r="K21" s="17">
        <v>149.86960397399801</v>
      </c>
      <c r="L21" s="30">
        <v>0.31543879314719703</v>
      </c>
      <c r="M21" s="17">
        <v>6.0504091720601297E-2</v>
      </c>
      <c r="N21" s="7"/>
      <c r="O21" s="26"/>
      <c r="P21" s="17">
        <f>B21</f>
        <v>5591.1349864959402</v>
      </c>
      <c r="Q21" s="28"/>
      <c r="R21" s="17">
        <f t="shared" si="2"/>
        <v>5591.1349864959402</v>
      </c>
      <c r="S21" s="8">
        <v>11373</v>
      </c>
      <c r="T21" s="17">
        <f t="shared" si="1"/>
        <v>16964.134986495941</v>
      </c>
      <c r="U21" s="8">
        <f>S21+X21</f>
        <v>20125.266990343804</v>
      </c>
      <c r="W21">
        <f>R21*(1+Factor_8060)</f>
        <v>6995.3631914908292</v>
      </c>
      <c r="X21">
        <f>W21*(1+Factor_8060)</f>
        <v>8752.2669903438036</v>
      </c>
    </row>
    <row r="22" spans="1:24" x14ac:dyDescent="0.25">
      <c r="C22" s="13"/>
      <c r="D22" s="13"/>
      <c r="E22" s="13"/>
      <c r="F22" s="1"/>
      <c r="G22" s="1"/>
      <c r="H22" s="1"/>
      <c r="I22" s="20"/>
      <c r="J22" s="20"/>
      <c r="L22" s="20"/>
      <c r="M22" s="23"/>
      <c r="N22" s="20" t="s">
        <v>49</v>
      </c>
      <c r="O22" s="16"/>
      <c r="P22" s="17"/>
      <c r="Q22" s="8"/>
      <c r="R22" s="17"/>
      <c r="S22" s="8"/>
      <c r="T22" s="8"/>
    </row>
    <row r="23" spans="1:24" s="12" customFormat="1" x14ac:dyDescent="0.25">
      <c r="A23" s="63">
        <v>7309.7574652912599</v>
      </c>
      <c r="B23" s="13">
        <v>7299.6946827327256</v>
      </c>
      <c r="C23" s="13">
        <v>16000</v>
      </c>
      <c r="D23" s="13">
        <v>32256</v>
      </c>
      <c r="E23" s="13">
        <v>25238.314446977958</v>
      </c>
      <c r="F23" s="1" t="s">
        <v>13</v>
      </c>
      <c r="G23" s="1">
        <v>51.2</v>
      </c>
      <c r="H23" s="4">
        <v>-0.64</v>
      </c>
      <c r="I23" s="63">
        <v>17928.552534708742</v>
      </c>
      <c r="J23" s="64">
        <v>1385</v>
      </c>
      <c r="K23" s="63">
        <v>211.47285560640299</v>
      </c>
      <c r="L23" s="63">
        <v>4.91045133284412E-2</v>
      </c>
      <c r="M23" s="63">
        <v>3.6322651727693299E-2</v>
      </c>
      <c r="O23" s="26"/>
      <c r="P23" s="33">
        <f>B23</f>
        <v>7299.6946827327256</v>
      </c>
      <c r="Q23" s="33">
        <f>A13</f>
        <v>5665.1579984121399</v>
      </c>
      <c r="R23" s="33">
        <f>P23-Q23</f>
        <v>1634.5366843205857</v>
      </c>
      <c r="S23" s="33">
        <f>E13</f>
        <v>22799.817089120232</v>
      </c>
      <c r="T23" s="33">
        <f t="shared" ref="T23:T31" si="3">R23+S23</f>
        <v>24434.353773440816</v>
      </c>
      <c r="U23" s="33">
        <f>S23+X23</f>
        <v>25238.314446977958</v>
      </c>
      <c r="V23" s="33"/>
      <c r="W23" s="31">
        <f t="shared" ref="W23:W31" si="4">R23*(1+Factor8061)</f>
        <v>1996.4501962326226</v>
      </c>
      <c r="X23" s="32">
        <f t="shared" ref="X23:X31" si="5">W23*(1+Factor8061)</f>
        <v>2438.4973578577269</v>
      </c>
    </row>
    <row r="24" spans="1:24" s="12" customFormat="1" x14ac:dyDescent="0.25">
      <c r="A24" s="63">
        <v>7326.6913124175999</v>
      </c>
      <c r="B24" s="13">
        <v>7289.8387218746548</v>
      </c>
      <c r="C24" s="13">
        <v>16000</v>
      </c>
      <c r="D24" s="13">
        <v>32256</v>
      </c>
      <c r="E24" s="13">
        <v>25271.77008515492</v>
      </c>
      <c r="F24" s="1" t="s">
        <v>2</v>
      </c>
      <c r="G24" s="1">
        <v>51.2</v>
      </c>
      <c r="H24" s="4">
        <v>-0.64</v>
      </c>
      <c r="I24" s="63">
        <v>17945.078687582401</v>
      </c>
      <c r="J24" s="64">
        <v>1320</v>
      </c>
      <c r="K24" s="63">
        <v>207.803769394471</v>
      </c>
      <c r="L24" s="63">
        <v>9.0686515774964102E-2</v>
      </c>
      <c r="M24" s="63">
        <v>4.9833205399718201E-2</v>
      </c>
      <c r="O24" s="26"/>
      <c r="P24" s="33">
        <f>B24</f>
        <v>7289.8387218746548</v>
      </c>
      <c r="Q24" s="33">
        <f>A14</f>
        <v>5622.5348600079396</v>
      </c>
      <c r="R24" s="33">
        <f>P24-Q24</f>
        <v>1667.3038618667151</v>
      </c>
      <c r="S24" s="33">
        <f t="shared" ref="S24:S31" si="6">E14</f>
        <v>22784.388736722271</v>
      </c>
      <c r="T24" s="33">
        <f t="shared" si="3"/>
        <v>24451.692598588987</v>
      </c>
      <c r="U24" s="33">
        <f>S24+X24</f>
        <v>25271.77008515492</v>
      </c>
      <c r="V24" s="33"/>
      <c r="W24" s="31">
        <f t="shared" si="4"/>
        <v>2036.4725699544772</v>
      </c>
      <c r="X24" s="32">
        <f t="shared" si="5"/>
        <v>2487.3813484326488</v>
      </c>
    </row>
    <row r="25" spans="1:24" s="12" customFormat="1" x14ac:dyDescent="0.25">
      <c r="A25" s="64">
        <v>7376.1136707574897</v>
      </c>
      <c r="B25" s="13">
        <v>7293.7383792587862</v>
      </c>
      <c r="C25" s="13">
        <v>16000</v>
      </c>
      <c r="D25" s="13">
        <v>32256</v>
      </c>
      <c r="E25" s="13">
        <v>25306.963715802307</v>
      </c>
      <c r="F25" s="1" t="s">
        <v>3</v>
      </c>
      <c r="G25" s="1">
        <v>51.2</v>
      </c>
      <c r="H25" s="4">
        <v>-0.64</v>
      </c>
      <c r="I25" s="63">
        <v>17930.846329242508</v>
      </c>
      <c r="J25" s="64">
        <v>1332</v>
      </c>
      <c r="K25" s="63">
        <v>211.34349339270901</v>
      </c>
      <c r="L25" s="63">
        <v>2.39696375741867E-2</v>
      </c>
      <c r="M25" s="63">
        <v>3.3244680182293901E-2</v>
      </c>
      <c r="O25" s="26"/>
      <c r="P25" s="33">
        <f>B25</f>
        <v>7293.7383792587862</v>
      </c>
      <c r="Q25" s="33">
        <f>A15</f>
        <v>5606.93590221459</v>
      </c>
      <c r="R25" s="33">
        <f>P25-Q25</f>
        <v>1686.8024770441962</v>
      </c>
      <c r="S25" s="33">
        <f t="shared" si="6"/>
        <v>22790.493193631148</v>
      </c>
      <c r="T25" s="33">
        <f t="shared" si="3"/>
        <v>24477.295670675343</v>
      </c>
      <c r="U25" s="33">
        <f>S25+X25</f>
        <v>25306.963715802307</v>
      </c>
      <c r="V25" s="33"/>
      <c r="W25" s="31">
        <f t="shared" si="4"/>
        <v>2060.2885016926671</v>
      </c>
      <c r="X25" s="32">
        <f t="shared" si="5"/>
        <v>2516.4705221711602</v>
      </c>
    </row>
    <row r="26" spans="1:24" s="12" customFormat="1" x14ac:dyDescent="0.25">
      <c r="A26" s="63">
        <v>7360.8589998546204</v>
      </c>
      <c r="B26" s="13">
        <v>7290.089187578802</v>
      </c>
      <c r="C26" s="13">
        <v>16000</v>
      </c>
      <c r="D26" s="13">
        <v>32256</v>
      </c>
      <c r="E26" s="13">
        <v>25336.072026022903</v>
      </c>
      <c r="F26" s="1" t="s">
        <v>4</v>
      </c>
      <c r="G26" s="1">
        <v>51.2</v>
      </c>
      <c r="H26" s="4">
        <v>-0.64</v>
      </c>
      <c r="I26" s="64">
        <v>17975.21100014538</v>
      </c>
      <c r="J26" s="64">
        <v>1320</v>
      </c>
      <c r="K26" s="63">
        <v>207.97569427936099</v>
      </c>
      <c r="L26" s="63">
        <v>4.6209983053656201E-2</v>
      </c>
      <c r="M26" s="63">
        <v>4.2283230560891102E-2</v>
      </c>
      <c r="O26" s="26"/>
      <c r="P26" s="33">
        <f>B26</f>
        <v>7290.089187578802</v>
      </c>
      <c r="Q26" s="33">
        <f>A16</f>
        <v>5579.9462304129202</v>
      </c>
      <c r="R26" s="33">
        <f>P26-Q26</f>
        <v>1710.1429571658819</v>
      </c>
      <c r="S26" s="33">
        <f t="shared" si="6"/>
        <v>22784.780811447694</v>
      </c>
      <c r="T26" s="33">
        <f t="shared" si="3"/>
        <v>24494.923768613575</v>
      </c>
      <c r="U26" s="33">
        <f>S26+X26</f>
        <v>25336.072026022903</v>
      </c>
      <c r="V26" s="33"/>
      <c r="W26" s="31">
        <f t="shared" si="4"/>
        <v>2088.7969509468799</v>
      </c>
      <c r="X26" s="32">
        <f t="shared" si="5"/>
        <v>2551.2912145752089</v>
      </c>
    </row>
    <row r="27" spans="1:24" x14ac:dyDescent="0.25">
      <c r="B27" s="13"/>
      <c r="C27" s="13"/>
      <c r="D27" s="13"/>
      <c r="E27" s="13"/>
      <c r="F27" s="1"/>
      <c r="G27" s="1"/>
      <c r="H27" s="4"/>
      <c r="I27" s="8"/>
      <c r="J27" s="8"/>
      <c r="K27" s="8"/>
      <c r="L27" s="8"/>
      <c r="M27" s="8"/>
      <c r="O27" s="16"/>
      <c r="P27" s="33"/>
      <c r="Q27" s="34"/>
      <c r="R27" s="33"/>
      <c r="S27" s="34"/>
      <c r="T27" s="33"/>
      <c r="U27" s="34"/>
      <c r="V27" s="34"/>
      <c r="W27" s="31">
        <f t="shared" si="4"/>
        <v>0</v>
      </c>
      <c r="X27" s="32">
        <f t="shared" si="5"/>
        <v>0</v>
      </c>
    </row>
    <row r="28" spans="1:24" x14ac:dyDescent="0.25">
      <c r="A28" s="17">
        <v>5695.4781297126401</v>
      </c>
      <c r="B28" s="13">
        <v>5551.8459403411398</v>
      </c>
      <c r="C28" s="13">
        <v>16000</v>
      </c>
      <c r="D28" s="13">
        <v>32256</v>
      </c>
      <c r="E28" s="13">
        <v>17618.65199672282</v>
      </c>
      <c r="F28" s="5" t="s">
        <v>13</v>
      </c>
      <c r="G28" s="1">
        <v>28.5</v>
      </c>
      <c r="H28" s="1">
        <v>-0.36</v>
      </c>
      <c r="I28" s="13">
        <v>11923.171870287362</v>
      </c>
      <c r="J28" s="14">
        <v>961</v>
      </c>
      <c r="K28" s="13">
        <v>140.531668898383</v>
      </c>
      <c r="L28" s="13">
        <v>4.9705617251167497E-2</v>
      </c>
      <c r="M28" s="17">
        <v>5.0535192260382403E-2</v>
      </c>
      <c r="N28" s="6"/>
      <c r="O28" s="7"/>
      <c r="P28" s="33">
        <f>B28</f>
        <v>5551.8459403411398</v>
      </c>
      <c r="Q28" s="34">
        <f>A18</f>
        <v>7553.7121720733803</v>
      </c>
      <c r="R28" s="33">
        <f t="shared" ref="R28:R31" si="7">P28-Q28</f>
        <v>-2001.8662317322405</v>
      </c>
      <c r="S28" s="34">
        <f t="shared" si="6"/>
        <v>20063.764590102477</v>
      </c>
      <c r="T28" s="33">
        <f t="shared" si="3"/>
        <v>18061.898358370236</v>
      </c>
      <c r="U28" s="34">
        <f>S28+W28</f>
        <v>17618.65199672282</v>
      </c>
      <c r="V28" s="34"/>
      <c r="W28" s="31">
        <f t="shared" si="4"/>
        <v>-2445.1125933796566</v>
      </c>
      <c r="X28" s="32">
        <f t="shared" si="5"/>
        <v>-2986.5010456420218</v>
      </c>
    </row>
    <row r="29" spans="1:24" x14ac:dyDescent="0.25">
      <c r="A29" s="17">
        <v>5326.79729485187</v>
      </c>
      <c r="B29" s="13">
        <v>5593.67670063883</v>
      </c>
      <c r="C29" s="13">
        <v>16000</v>
      </c>
      <c r="D29" s="13">
        <v>32256</v>
      </c>
      <c r="E29" s="13">
        <v>17059.496486052991</v>
      </c>
      <c r="F29" s="1" t="s">
        <v>2</v>
      </c>
      <c r="G29" s="1">
        <v>28.5</v>
      </c>
      <c r="H29" s="46">
        <v>-0.36</v>
      </c>
      <c r="I29" s="13">
        <v>11732.702705148131</v>
      </c>
      <c r="J29" s="14">
        <v>916</v>
      </c>
      <c r="K29" s="13">
        <v>141.300411290976</v>
      </c>
      <c r="L29" s="30">
        <v>0.41828613219509803</v>
      </c>
      <c r="M29" s="17">
        <v>7.4696216976438495E-2</v>
      </c>
      <c r="N29" s="7"/>
      <c r="O29" s="7"/>
      <c r="P29" s="33">
        <f>B29</f>
        <v>5593.67670063883</v>
      </c>
      <c r="Q29" s="34">
        <f t="shared" ref="Q29:Q31" si="8">A19</f>
        <v>7651.3446169587796</v>
      </c>
      <c r="R29" s="33">
        <f t="shared" si="7"/>
        <v>-2057.6679163199497</v>
      </c>
      <c r="S29" s="34">
        <f t="shared" si="6"/>
        <v>20129.245746150169</v>
      </c>
      <c r="T29" s="33">
        <f t="shared" si="3"/>
        <v>18071.577829830218</v>
      </c>
      <c r="U29" s="34">
        <f>S29+X29</f>
        <v>17059.496486052991</v>
      </c>
      <c r="V29" s="34"/>
      <c r="W29" s="31">
        <f t="shared" si="4"/>
        <v>-2513.2696957646358</v>
      </c>
      <c r="X29" s="32">
        <f t="shared" si="5"/>
        <v>-3069.7492600971768</v>
      </c>
    </row>
    <row r="30" spans="1:24" x14ac:dyDescent="0.25">
      <c r="A30" s="17">
        <v>5268.3279698654896</v>
      </c>
      <c r="B30" s="13">
        <v>5534.6619583761003</v>
      </c>
      <c r="C30" s="13">
        <v>16000</v>
      </c>
      <c r="D30" s="13">
        <v>32256</v>
      </c>
      <c r="E30" s="13">
        <v>17044.486083805154</v>
      </c>
      <c r="F30" s="1" t="s">
        <v>3</v>
      </c>
      <c r="G30" s="1">
        <v>28.5</v>
      </c>
      <c r="H30" s="1">
        <v>-0.36</v>
      </c>
      <c r="I30" s="13">
        <v>11776.162030134512</v>
      </c>
      <c r="J30" s="14">
        <v>927</v>
      </c>
      <c r="K30" s="13">
        <v>139.00596435779099</v>
      </c>
      <c r="L30" s="13">
        <v>4.6385505018665701E-2</v>
      </c>
      <c r="M30" s="17">
        <v>5.7673101530696498E-2</v>
      </c>
      <c r="N30" s="7"/>
      <c r="O30" s="7"/>
      <c r="P30" s="33">
        <f>B30</f>
        <v>5534.6619583761003</v>
      </c>
      <c r="Q30" s="34">
        <f t="shared" si="8"/>
        <v>7540.4682083347898</v>
      </c>
      <c r="R30" s="33">
        <f t="shared" si="7"/>
        <v>-2005.8062499586895</v>
      </c>
      <c r="S30" s="34">
        <f t="shared" si="6"/>
        <v>20036.865078915835</v>
      </c>
      <c r="T30" s="33">
        <f t="shared" si="3"/>
        <v>18031.058828957146</v>
      </c>
      <c r="U30" s="34">
        <f>S30+X30</f>
        <v>17044.486083805154</v>
      </c>
      <c r="V30" s="34"/>
      <c r="W30" s="31">
        <f t="shared" si="4"/>
        <v>-2449.9249969413568</v>
      </c>
      <c r="X30" s="32">
        <f t="shared" si="5"/>
        <v>-2992.3789951106814</v>
      </c>
    </row>
    <row r="31" spans="1:24" x14ac:dyDescent="0.25">
      <c r="A31" s="17">
        <v>5316.5846257697003</v>
      </c>
      <c r="B31" s="13">
        <v>5591.1349864959402</v>
      </c>
      <c r="C31" s="13">
        <v>16000</v>
      </c>
      <c r="D31" s="13">
        <v>32256</v>
      </c>
      <c r="E31" s="13">
        <v>17043.094518882503</v>
      </c>
      <c r="F31" s="1" t="s">
        <v>4</v>
      </c>
      <c r="G31" s="1">
        <v>28.5</v>
      </c>
      <c r="H31" s="46">
        <v>-0.36</v>
      </c>
      <c r="I31" s="13">
        <v>11726.505374230299</v>
      </c>
      <c r="J31" s="14">
        <v>913</v>
      </c>
      <c r="K31" s="13">
        <v>140.99227017676799</v>
      </c>
      <c r="L31" s="30">
        <v>0.37310116703106</v>
      </c>
      <c r="M31" s="17">
        <v>7.7321640365980798E-2</v>
      </c>
      <c r="N31" s="7"/>
      <c r="O31" s="7"/>
      <c r="P31" s="33">
        <f>B31</f>
        <v>5591.1349864959402</v>
      </c>
      <c r="Q31" s="34">
        <f t="shared" si="8"/>
        <v>7657.1302420464599</v>
      </c>
      <c r="R31" s="33">
        <f t="shared" si="7"/>
        <v>-2065.9952555505197</v>
      </c>
      <c r="S31" s="34">
        <f t="shared" si="6"/>
        <v>20125.266990343804</v>
      </c>
      <c r="T31" s="33">
        <f t="shared" si="3"/>
        <v>18059.271734793285</v>
      </c>
      <c r="U31" s="34">
        <f>S31+X31</f>
        <v>17043.094518882503</v>
      </c>
      <c r="V31" s="34"/>
      <c r="W31" s="31">
        <f t="shared" si="4"/>
        <v>-2523.4408459140604</v>
      </c>
      <c r="X31" s="32">
        <f t="shared" si="5"/>
        <v>-3082.1724714613019</v>
      </c>
    </row>
    <row r="33" spans="1:24" x14ac:dyDescent="0.25">
      <c r="B33" s="13">
        <v>7299.6946827327256</v>
      </c>
      <c r="C33" s="13">
        <v>16000</v>
      </c>
      <c r="D33" s="13">
        <v>32256</v>
      </c>
      <c r="E33" s="13">
        <v>25223.302199827394</v>
      </c>
      <c r="F33" s="1" t="s">
        <v>13</v>
      </c>
      <c r="G33" s="1">
        <v>51.2</v>
      </c>
      <c r="H33" s="4">
        <v>-0.64</v>
      </c>
      <c r="P33" s="33">
        <f>B33</f>
        <v>7299.6946827327256</v>
      </c>
      <c r="Q33" s="33">
        <f>A23</f>
        <v>7309.7574652912599</v>
      </c>
      <c r="R33" s="33">
        <f>P33-Q33</f>
        <v>-10.062782558534309</v>
      </c>
      <c r="S33" s="33">
        <f>E23</f>
        <v>25238.314446977958</v>
      </c>
      <c r="T33" s="33">
        <f t="shared" ref="T33:T36" si="9">R33+S33</f>
        <v>25228.251664419426</v>
      </c>
      <c r="U33" s="33">
        <f>S33+X33</f>
        <v>25223.302199827394</v>
      </c>
      <c r="V33" s="33"/>
      <c r="W33" s="31">
        <f t="shared" ref="W33:W41" si="10">R33*(1+Factor8061)</f>
        <v>-12.290849392580389</v>
      </c>
      <c r="X33" s="32">
        <f t="shared" ref="X33:X41" si="11">W33*(1+Factor8061)</f>
        <v>-15.012247150563198</v>
      </c>
    </row>
    <row r="34" spans="1:24" x14ac:dyDescent="0.25">
      <c r="B34" s="13">
        <v>7289.8387218746548</v>
      </c>
      <c r="C34" s="13">
        <v>16000</v>
      </c>
      <c r="D34" s="13">
        <v>32256</v>
      </c>
      <c r="E34" s="13">
        <v>25216.791236695157</v>
      </c>
      <c r="F34" s="1" t="s">
        <v>2</v>
      </c>
      <c r="G34" s="1">
        <v>51.2</v>
      </c>
      <c r="H34" s="4">
        <v>-0.64</v>
      </c>
      <c r="P34" s="33">
        <f>B34</f>
        <v>7289.8387218746548</v>
      </c>
      <c r="Q34" s="33">
        <f>A24</f>
        <v>7326.6913124175999</v>
      </c>
      <c r="R34" s="33">
        <f>P34-Q34</f>
        <v>-36.852590542945109</v>
      </c>
      <c r="S34" s="33">
        <f t="shared" ref="S34:S36" si="12">E24</f>
        <v>25271.77008515492</v>
      </c>
      <c r="T34" s="33">
        <f t="shared" si="9"/>
        <v>25234.917494611975</v>
      </c>
      <c r="U34" s="33">
        <f>S34+X34</f>
        <v>25216.791236695157</v>
      </c>
      <c r="V34" s="33"/>
      <c r="W34" s="31">
        <f t="shared" si="10"/>
        <v>-45.012364865781706</v>
      </c>
      <c r="X34" s="32">
        <f t="shared" si="11"/>
        <v>-54.978848459762595</v>
      </c>
    </row>
    <row r="35" spans="1:24" x14ac:dyDescent="0.25">
      <c r="B35" s="13">
        <v>7293.7383792587862</v>
      </c>
      <c r="C35" s="13">
        <v>16000</v>
      </c>
      <c r="D35" s="13">
        <v>32256</v>
      </c>
      <c r="E35" s="13">
        <v>25184.071441435372</v>
      </c>
      <c r="F35" s="1" t="s">
        <v>3</v>
      </c>
      <c r="G35" s="1">
        <v>51.2</v>
      </c>
      <c r="H35" s="4">
        <v>-0.64</v>
      </c>
      <c r="P35" s="33">
        <f>B35</f>
        <v>7293.7383792587862</v>
      </c>
      <c r="Q35" s="33">
        <f>A25</f>
        <v>7376.1136707574897</v>
      </c>
      <c r="R35" s="33">
        <f>P35-Q35</f>
        <v>-82.375291498703518</v>
      </c>
      <c r="S35" s="33">
        <f t="shared" si="12"/>
        <v>25306.963715802307</v>
      </c>
      <c r="T35" s="33">
        <f t="shared" si="9"/>
        <v>25224.588424303605</v>
      </c>
      <c r="U35" s="33">
        <f>S35+X35</f>
        <v>25184.071441435372</v>
      </c>
      <c r="V35" s="33"/>
      <c r="W35" s="31">
        <f t="shared" si="10"/>
        <v>-100.61454628390007</v>
      </c>
      <c r="X35" s="32">
        <f t="shared" si="11"/>
        <v>-122.8922743669368</v>
      </c>
    </row>
    <row r="36" spans="1:24" x14ac:dyDescent="0.25">
      <c r="B36" s="13">
        <v>7290.089187578802</v>
      </c>
      <c r="C36" s="13">
        <v>16000</v>
      </c>
      <c r="D36" s="13">
        <v>32256</v>
      </c>
      <c r="E36" s="13">
        <v>25230.493483854912</v>
      </c>
      <c r="F36" s="1" t="s">
        <v>4</v>
      </c>
      <c r="G36" s="1">
        <v>51.2</v>
      </c>
      <c r="H36" s="4">
        <v>-0.64</v>
      </c>
      <c r="P36" s="33">
        <f>B36</f>
        <v>7290.089187578802</v>
      </c>
      <c r="Q36" s="33">
        <f>A26</f>
        <v>7360.8589998546204</v>
      </c>
      <c r="R36" s="33">
        <f>P36-Q36</f>
        <v>-70.769812275818367</v>
      </c>
      <c r="S36" s="33">
        <f t="shared" si="12"/>
        <v>25336.072026022903</v>
      </c>
      <c r="T36" s="33">
        <f t="shared" si="9"/>
        <v>25265.302213747083</v>
      </c>
      <c r="U36" s="33">
        <f>S36+X36</f>
        <v>25230.493483854912</v>
      </c>
      <c r="V36" s="33"/>
      <c r="W36" s="31">
        <f t="shared" si="10"/>
        <v>-86.439421617589218</v>
      </c>
      <c r="X36" s="32">
        <f t="shared" si="11"/>
        <v>-105.57854216799177</v>
      </c>
    </row>
    <row r="37" spans="1:24" x14ac:dyDescent="0.25">
      <c r="B37" s="13"/>
      <c r="C37" s="13"/>
      <c r="D37" s="13"/>
      <c r="E37" s="13"/>
      <c r="F37" s="1"/>
      <c r="G37" s="1"/>
      <c r="H37" s="4"/>
      <c r="P37" s="33"/>
      <c r="Q37" s="34"/>
      <c r="R37" s="33"/>
      <c r="S37" s="34"/>
      <c r="T37" s="33"/>
      <c r="U37" s="34"/>
      <c r="V37" s="34"/>
      <c r="W37" s="31">
        <f t="shared" si="10"/>
        <v>0</v>
      </c>
      <c r="X37" s="32">
        <f t="shared" si="11"/>
        <v>0</v>
      </c>
    </row>
    <row r="38" spans="1:24" x14ac:dyDescent="0.25">
      <c r="A38" s="61">
        <v>5560.5129963263398</v>
      </c>
      <c r="B38" s="13">
        <v>5551.8459403411398</v>
      </c>
      <c r="C38" s="13">
        <v>16000</v>
      </c>
      <c r="D38" s="13">
        <v>32256</v>
      </c>
      <c r="E38" s="44">
        <v>17443.217260135523</v>
      </c>
      <c r="F38" s="5" t="s">
        <v>13</v>
      </c>
      <c r="G38" s="1">
        <v>28.5</v>
      </c>
      <c r="H38" s="1">
        <v>-0.36</v>
      </c>
      <c r="I38" s="61">
        <v>11882.707003673662</v>
      </c>
      <c r="J38" s="61">
        <v>958</v>
      </c>
      <c r="K38" s="60">
        <v>140.09557555319699</v>
      </c>
      <c r="L38" s="60">
        <v>4.9013109680806001E-2</v>
      </c>
      <c r="M38" s="60">
        <v>4.9114551017060797E-2</v>
      </c>
      <c r="P38" s="33">
        <f>B38</f>
        <v>5551.8459403411398</v>
      </c>
      <c r="Q38" s="34">
        <f>A28</f>
        <v>5695.4781297126401</v>
      </c>
      <c r="R38" s="33">
        <f t="shared" ref="R38:R41" si="13">P38-Q38</f>
        <v>-143.63218937150032</v>
      </c>
      <c r="S38" s="34">
        <f t="shared" ref="S38:S41" si="14">E28</f>
        <v>17618.65199672282</v>
      </c>
      <c r="T38" s="33">
        <f t="shared" ref="T38:T41" si="15">R38+S38</f>
        <v>17475.01980735132</v>
      </c>
      <c r="U38" s="33">
        <f>S38+W38</f>
        <v>17443.217260135523</v>
      </c>
      <c r="V38" s="34"/>
      <c r="W38" s="31">
        <f t="shared" si="10"/>
        <v>-175.4347365872953</v>
      </c>
      <c r="X38" s="32">
        <f t="shared" si="11"/>
        <v>-214.27889483637276</v>
      </c>
    </row>
    <row r="39" spans="1:24" x14ac:dyDescent="0.25">
      <c r="A39" s="61">
        <v>5635.7355445789899</v>
      </c>
      <c r="B39" s="13">
        <v>5593.67670063883</v>
      </c>
      <c r="C39" s="13">
        <v>16000</v>
      </c>
      <c r="D39" s="13">
        <v>32256</v>
      </c>
      <c r="E39" s="44">
        <v>17457.642781649072</v>
      </c>
      <c r="F39" s="1" t="s">
        <v>2</v>
      </c>
      <c r="G39" s="1">
        <v>28.5</v>
      </c>
      <c r="H39" s="46">
        <v>-0.36</v>
      </c>
      <c r="I39" s="61">
        <v>11821.904455421009</v>
      </c>
      <c r="J39" s="61">
        <v>923</v>
      </c>
      <c r="K39" s="60">
        <v>142.40142905986801</v>
      </c>
      <c r="L39" s="60">
        <v>0.48333294760770601</v>
      </c>
      <c r="M39" s="60">
        <v>7.3082994476161303E-2</v>
      </c>
      <c r="P39" s="33">
        <f>B39</f>
        <v>5593.67670063883</v>
      </c>
      <c r="Q39" s="34">
        <f t="shared" ref="Q39:Q41" si="16">A29</f>
        <v>5326.79729485187</v>
      </c>
      <c r="R39" s="33">
        <f t="shared" si="13"/>
        <v>266.87940578695998</v>
      </c>
      <c r="S39" s="34">
        <f t="shared" si="14"/>
        <v>17059.496486052991</v>
      </c>
      <c r="T39" s="33">
        <f t="shared" si="15"/>
        <v>17326.375891839951</v>
      </c>
      <c r="U39" s="33">
        <f>S39+X39</f>
        <v>17457.642781649072</v>
      </c>
      <c r="V39" s="34"/>
      <c r="W39" s="31">
        <f t="shared" si="10"/>
        <v>325.97092935561204</v>
      </c>
      <c r="X39" s="32">
        <f t="shared" si="11"/>
        <v>398.14629559608102</v>
      </c>
    </row>
    <row r="40" spans="1:24" x14ac:dyDescent="0.25">
      <c r="A40" s="61">
        <v>5567.3820911226803</v>
      </c>
      <c r="B40" s="13">
        <v>5534.6619583761003</v>
      </c>
      <c r="C40" s="13">
        <v>16000</v>
      </c>
      <c r="D40" s="13">
        <v>32256</v>
      </c>
      <c r="E40" s="44">
        <v>17441.818694030899</v>
      </c>
      <c r="F40" s="1" t="s">
        <v>3</v>
      </c>
      <c r="G40" s="1">
        <v>28.5</v>
      </c>
      <c r="H40" s="1">
        <v>-0.36</v>
      </c>
      <c r="I40" s="61">
        <v>11874.43790887732</v>
      </c>
      <c r="J40" s="61">
        <v>937</v>
      </c>
      <c r="K40" s="60">
        <v>140.06557744350701</v>
      </c>
      <c r="L40" s="60">
        <v>4.7616735250339999E-2</v>
      </c>
      <c r="M40" s="60">
        <v>5.1680795759373399E-2</v>
      </c>
      <c r="P40" s="33">
        <f>B40</f>
        <v>5534.6619583761003</v>
      </c>
      <c r="Q40" s="34">
        <f t="shared" si="16"/>
        <v>5268.3279698654896</v>
      </c>
      <c r="R40" s="33">
        <f t="shared" si="13"/>
        <v>266.33398851061065</v>
      </c>
      <c r="S40" s="34">
        <f t="shared" si="14"/>
        <v>17044.486083805154</v>
      </c>
      <c r="T40" s="33">
        <f t="shared" si="15"/>
        <v>17310.820072315764</v>
      </c>
      <c r="U40" s="33">
        <f>S40+X40</f>
        <v>17441.818694030899</v>
      </c>
      <c r="V40" s="34"/>
      <c r="W40" s="31">
        <f t="shared" si="10"/>
        <v>325.3047476548025</v>
      </c>
      <c r="X40" s="32">
        <f t="shared" si="11"/>
        <v>397.33261022574584</v>
      </c>
    </row>
    <row r="41" spans="1:24" x14ac:dyDescent="0.25">
      <c r="A41" s="61">
        <v>5628.9808348623701</v>
      </c>
      <c r="B41" s="13">
        <v>5591.1349864959402</v>
      </c>
      <c r="C41" s="13">
        <v>16000</v>
      </c>
      <c r="D41" s="13">
        <v>32256</v>
      </c>
      <c r="E41" s="44">
        <v>17452.684793393903</v>
      </c>
      <c r="F41" s="1" t="s">
        <v>4</v>
      </c>
      <c r="G41" s="1">
        <v>28.5</v>
      </c>
      <c r="H41" s="46">
        <v>-0.36</v>
      </c>
      <c r="I41" s="61">
        <v>11823.69916513763</v>
      </c>
      <c r="J41" s="61">
        <v>921</v>
      </c>
      <c r="K41" s="60">
        <v>142.16520201057199</v>
      </c>
      <c r="L41" s="60">
        <v>0.39253501302967903</v>
      </c>
      <c r="M41" s="60">
        <v>7.7354569655099903E-2</v>
      </c>
      <c r="P41" s="33">
        <f>B41</f>
        <v>5591.1349864959402</v>
      </c>
      <c r="Q41" s="34">
        <f t="shared" si="16"/>
        <v>5316.5846257697003</v>
      </c>
      <c r="R41" s="33">
        <f t="shared" si="13"/>
        <v>274.55036072623989</v>
      </c>
      <c r="S41" s="34">
        <f t="shared" si="14"/>
        <v>17043.094518882503</v>
      </c>
      <c r="T41" s="33">
        <f t="shared" si="15"/>
        <v>17317.644879608742</v>
      </c>
      <c r="U41" s="33">
        <f>S41+X41</f>
        <v>17452.684793393903</v>
      </c>
      <c r="V41" s="34"/>
      <c r="W41" s="31">
        <f t="shared" si="10"/>
        <v>335.34036085306582</v>
      </c>
      <c r="X41" s="32">
        <f t="shared" si="11"/>
        <v>409.59027451139968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Operating Profit</vt:lpstr>
      <vt:lpstr>Mission Params</vt:lpstr>
      <vt:lpstr>Mass Optimization</vt:lpstr>
      <vt:lpstr>32x6295</vt:lpstr>
      <vt:lpstr>32x8061 (8T)</vt:lpstr>
      <vt:lpstr>32x8061-8T Figs</vt:lpstr>
      <vt:lpstr>32x8061 (12T)</vt:lpstr>
      <vt:lpstr>32x8061-12T Figs</vt:lpstr>
      <vt:lpstr>64x6295 (16T)</vt:lpstr>
      <vt:lpstr>64x6295 (24T)</vt:lpstr>
      <vt:lpstr>64x6295-24T Figs</vt:lpstr>
      <vt:lpstr>64x8061 (24T)</vt:lpstr>
      <vt:lpstr>64x8061-24T Figs</vt:lpstr>
      <vt:lpstr>64x8061 (36T)</vt:lpstr>
      <vt:lpstr>64x8061-36T Figs</vt:lpstr>
      <vt:lpstr>Summary Figs</vt:lpstr>
      <vt:lpstr>Delta_V</vt:lpstr>
      <vt:lpstr>Factor_4063</vt:lpstr>
      <vt:lpstr>Factor_4537</vt:lpstr>
      <vt:lpstr>Factor_5999</vt:lpstr>
      <vt:lpstr>Factor_6295</vt:lpstr>
      <vt:lpstr>Factor_8060</vt:lpstr>
      <vt:lpstr>Factor8061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chelms@socal.rr.com</dc:creator>
  <cp:lastModifiedBy>chelms@socal.rr.com</cp:lastModifiedBy>
  <dcterms:created xsi:type="dcterms:W3CDTF">2018-05-28T14:04:31Z</dcterms:created>
  <dcterms:modified xsi:type="dcterms:W3CDTF">2018-07-07T19:42:39Z</dcterms:modified>
</cp:coreProperties>
</file>